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1" activeTab="8"/>
  </bookViews>
  <sheets>
    <sheet name="sua  mau an tuyen khong ro 9" sheetId="1" state="hidden" r:id="rId1"/>
    <sheet name="Thông tin" sheetId="2" r:id="rId2"/>
    <sheet name="19" sheetId="3" r:id="rId3"/>
    <sheet name="18" sheetId="4" r:id="rId4"/>
    <sheet name="17" sheetId="5" r:id="rId5"/>
    <sheet name="16" sheetId="6" r:id="rId6"/>
    <sheet name="15" sheetId="7" r:id="rId7"/>
    <sheet name="14" sheetId="8" r:id="rId8"/>
    <sheet name="13" sheetId="9" r:id="rId9"/>
    <sheet name="12" sheetId="10" r:id="rId10"/>
    <sheet name="11" sheetId="11" r:id="rId11"/>
    <sheet name="10" sheetId="12" r:id="rId12"/>
    <sheet name="9" sheetId="13" r:id="rId13"/>
    <sheet name="8" sheetId="14" r:id="rId14"/>
    <sheet name="7" sheetId="15" r:id="rId15"/>
    <sheet name="6" sheetId="16" r:id="rId16"/>
    <sheet name="5" sheetId="17" r:id="rId17"/>
    <sheet name="PT04" sheetId="18" r:id="rId18"/>
    <sheet name="4" sheetId="19" r:id="rId19"/>
    <sheet name="PT03" sheetId="20" r:id="rId20"/>
    <sheet name="3" sheetId="21" r:id="rId21"/>
    <sheet name="PT02" sheetId="22" r:id="rId22"/>
    <sheet name="2" sheetId="23" r:id="rId23"/>
    <sheet name="PT01" sheetId="24" r:id="rId24"/>
    <sheet name="1" sheetId="25" r:id="rId25"/>
  </sheets>
  <definedNames/>
  <calcPr fullCalcOnLoad="1"/>
</workbook>
</file>

<file path=xl/comments3.xml><?xml version="1.0" encoding="utf-8"?>
<comments xmlns="http://schemas.openxmlformats.org/spreadsheetml/2006/main">
  <authors>
    <author>pc</author>
  </authors>
  <commentList>
    <comment ref="B14" authorId="0">
      <text>
        <r>
          <rPr>
            <b/>
            <sz val="9"/>
            <rFont val="Tahoma"/>
            <family val="0"/>
          </rPr>
          <t>pc:</t>
        </r>
        <r>
          <rPr>
            <sz val="9"/>
            <rFont val="Tahoma"/>
            <family val="0"/>
          </rPr>
          <t xml:space="preserve">
</t>
        </r>
      </text>
    </comment>
  </commentList>
</comments>
</file>

<file path=xl/sharedStrings.xml><?xml version="1.0" encoding="utf-8"?>
<sst xmlns="http://schemas.openxmlformats.org/spreadsheetml/2006/main" count="1657" uniqueCount="591">
  <si>
    <t>I</t>
  </si>
  <si>
    <t>II</t>
  </si>
  <si>
    <t>Số việc</t>
  </si>
  <si>
    <t xml:space="preserve"> </t>
  </si>
  <si>
    <t>NGƯỜI LẬP BIỂU</t>
  </si>
  <si>
    <t>A</t>
  </si>
  <si>
    <t>Chia ra:</t>
  </si>
  <si>
    <t>Trang số: 01</t>
  </si>
  <si>
    <t>Đơn vị tính: Việc</t>
  </si>
  <si>
    <t>III</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</si>
  <si>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</si>
  <si>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</si>
  <si>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</si>
  <si>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</si>
  <si>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</si>
  <si>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</si>
  <si>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</si>
  <si>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</si>
  <si>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</si>
  <si>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</si>
  <si>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</si>
  <si>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</si>
  <si>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</si>
  <si>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</si>
  <si>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</si>
  <si>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</si>
  <si>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Tổng số</t>
  </si>
  <si>
    <t>Tổng số</t>
  </si>
  <si>
    <t xml:space="preserve">                    A</t>
  </si>
  <si>
    <t>Tổng số</t>
  </si>
  <si>
    <t xml:space="preserve">CHIA THEO CƠ QUAN THI HÀNH ÁN VÀ CHẤP HÀNH VIÊN </t>
  </si>
  <si>
    <t xml:space="preserve">    NGƯỜI LẬP BIỂU</t>
  </si>
  <si>
    <t xml:space="preserve">         CỤC TRƯỞNG (CHI CỤC TRƯỞNG)</t>
  </si>
  <si>
    <t>Ghi chú:</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</si>
  <si>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</si>
  <si>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</si>
  <si>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</si>
  <si>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</si>
  <si>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</si>
  <si>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</si>
  <si>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</si>
  <si>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</si>
  <si>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</si>
  <si>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</si>
  <si>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</si>
  <si>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</si>
  <si>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</si>
  <si>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</si>
  <si>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Cột 1= cột 2 + cột 3 + cột 6 + cột 7 + cột 8 + cột 9 + cột 10 + cột 11.</t>
  </si>
  <si>
    <t>- Cột 3= cột 4 + cột 5 .</t>
  </si>
  <si>
    <t>- Đối với việc ủy thác thi hành án chỉ thống kê đối với việc đã ra quyết định ủy thác thi hành án;</t>
  </si>
  <si>
    <t xml:space="preserve">    - Đối với số việc ủy thác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</si>
  <si>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</si>
  <si>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</si>
  <si>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</si>
  <si>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</si>
  <si>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</si>
  <si>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</si>
  <si>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</si>
  <si>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</si>
  <si>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</si>
  <si>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</si>
  <si>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</si>
  <si>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</si>
  <si>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</si>
  <si>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</si>
  <si>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</si>
  <si>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</si>
  <si>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</si>
  <si>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</si>
  <si>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</si>
  <si>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</si>
  <si>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</si>
  <si>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</si>
  <si>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</si>
  <si>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</si>
  <si>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</si>
  <si>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</si>
  <si>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</si>
  <si>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</si>
  <si>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</si>
  <si>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</si>
  <si>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</si>
  <si>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</si>
  <si>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Cục Thi hành án DS</t>
  </si>
  <si>
    <t>10</t>
  </si>
  <si>
    <t>Ngày nhận báo cáo:………………...…</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</si>
  <si>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</si>
  <si>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</si>
  <si>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</si>
  <si>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</si>
  <si>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</si>
  <si>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</si>
  <si>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</si>
  <si>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</si>
  <si>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</si>
  <si>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</si>
  <si>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</si>
  <si>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</si>
  <si>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</si>
  <si>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</si>
  <si>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</si>
  <si>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</si>
  <si>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</si>
  <si>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</si>
  <si>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</si>
  <si>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</si>
  <si>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</si>
  <si>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</si>
  <si>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</si>
  <si>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</si>
  <si>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</si>
  <si>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</si>
  <si>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</si>
  <si>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</si>
  <si>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</si>
  <si>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</si>
  <si>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</si>
  <si>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</si>
  <si>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</si>
  <si>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</si>
  <si>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</si>
  <si>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</si>
  <si>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</si>
  <si>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</si>
  <si>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</si>
  <si>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</si>
  <si>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</si>
  <si>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</si>
  <si>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</si>
  <si>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</si>
  <si>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</si>
  <si>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</si>
  <si>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</si>
  <si>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</si>
  <si>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</si>
  <si>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</si>
  <si>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</si>
  <si>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</si>
  <si>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</si>
  <si>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</si>
  <si>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</si>
  <si>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</si>
  <si>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</si>
  <si>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</si>
  <si>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</si>
  <si>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</si>
  <si>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</si>
  <si>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</si>
  <si>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</si>
  <si>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</si>
  <si>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</si>
  <si>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</si>
  <si>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</si>
  <si>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</si>
  <si>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</si>
  <si>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</si>
  <si>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</si>
  <si>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</si>
  <si>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</si>
  <si>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</si>
  <si>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</si>
  <si>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PHÂN TÍCH MỘT SỐ CHỈ TIÊU
VIỆC THI HÀNH ÁN DÂN SỰ THEO YÊU  CẦU</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</si>
  <si>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</si>
  <si>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</si>
  <si>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</si>
  <si>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</si>
  <si>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</si>
  <si>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</si>
  <si>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</si>
  <si>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</si>
  <si>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</si>
  <si>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</si>
  <si>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</si>
  <si>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</si>
  <si>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</si>
  <si>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</si>
  <si>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</si>
  <si>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</si>
  <si>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</si>
  <si>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</si>
  <si>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</si>
  <si>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</si>
  <si>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</si>
  <si>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</si>
  <si>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</si>
  <si>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</si>
  <si>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</si>
  <si>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</si>
  <si>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Tỷ lệ: 
( %) (xong  + đình chỉ)/ Có điều kiện * 100%</t>
  </si>
  <si>
    <t>Chưa có điều
 kiện hành</t>
  </si>
  <si>
    <t>Năm trước
chuyển sang</t>
  </si>
  <si>
    <t xml:space="preserve">Mới
thụ lý
</t>
  </si>
  <si>
    <t>Thi hành
xong</t>
  </si>
  <si>
    <t>Đình chỉ
thi hành án</t>
  </si>
  <si>
    <t>Hoãn
thi hành án</t>
  </si>
  <si>
    <t xml:space="preserve">   KẾT QUẢ THI HÀNH ÁN DÂN SỰ TÍNH BẰNG TIỀN </t>
  </si>
  <si>
    <t xml:space="preserve"> Biểu số: 11/TK-THA</t>
  </si>
  <si>
    <t xml:space="preserve"> Ngày nhận báo cáo:………………...…</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</si>
  <si>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</si>
  <si>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</si>
  <si>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</si>
  <si>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</si>
  <si>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</si>
  <si>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</si>
  <si>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</si>
  <si>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</si>
  <si>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</si>
  <si>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</si>
  <si>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</si>
  <si>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</si>
  <si>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</si>
  <si>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</si>
  <si>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</si>
  <si>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</si>
  <si>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</si>
  <si>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</si>
  <si>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</si>
  <si>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</si>
  <si>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</si>
  <si>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Cục Thi hành án dân sự </t>
  </si>
  <si>
    <t xml:space="preserve"> Biểu số: 19/TK-THA</t>
  </si>
  <si>
    <t>SỐ VIỆC ĐÔN ĐỐC THI HÀNH ÁN HÀNH CHÍNH</t>
  </si>
  <si>
    <t xml:space="preserve">
….tháng, năm 20.…….
</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</si>
  <si>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</si>
  <si>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</si>
  <si>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</si>
  <si>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</si>
  <si>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</si>
  <si>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</si>
  <si>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</si>
  <si>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</si>
  <si>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</si>
  <si>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</si>
  <si>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</si>
  <si>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</si>
  <si>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</si>
  <si>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rPr>
        <b/>
        <sz val="9"/>
        <rFont val="Times New Roman"/>
        <family val="1"/>
      </rPr>
      <t>Số việc tiếp nhận</t>
    </r>
    <r>
      <rPr>
        <sz val="9"/>
        <rFont val="Times New Roman"/>
        <family val="1"/>
      </rPr>
      <t xml:space="preserve"> (Việc)</t>
    </r>
  </si>
  <si>
    <t>Chia theo bản án, quyết định:</t>
  </si>
  <si>
    <t>Chia theo bản án quyết định:</t>
  </si>
  <si>
    <t>Chia theo đối tượng được thi hành án</t>
  </si>
  <si>
    <r>
      <t xml:space="preserve">Số lượng </t>
    </r>
    <r>
      <rPr>
        <sz val="14"/>
        <rFont val="Times New Roman"/>
        <family val="1"/>
      </rPr>
      <t>(1.000 VN đồng)</t>
    </r>
  </si>
  <si>
    <t>Số mới nhận</t>
  </si>
  <si>
    <t>KHIẾU NẠI VÀ GIẢI QUYẾT</t>
  </si>
  <si>
    <t xml:space="preserve"> KHIẾU NẠI TRONG THI HÀNH ÁN DÂN SỰ</t>
  </si>
  <si>
    <r>
      <rPr>
        <b/>
        <sz val="9"/>
        <rFont val="Times New Roman"/>
        <family val="1"/>
      </rPr>
      <t>Tổng số đơn tiếp nhận</t>
    </r>
    <r>
      <rPr>
        <sz val="9"/>
        <rFont val="Times New Roman"/>
        <family val="1"/>
      </rPr>
      <t xml:space="preserve">
(Đơn)</t>
    </r>
  </si>
  <si>
    <t>Số việc phải đôn đốc 
thi hành án hành chính đã nhận</t>
  </si>
  <si>
    <t>Ban hành theo TT số: 08/2015/TT-BTP</t>
  </si>
  <si>
    <t>ngày 26 tháng 6 năm 2015</t>
  </si>
  <si>
    <t>Truy thu</t>
  </si>
  <si>
    <t xml:space="preserve">
Số KN hành vi và QĐ của Chấp hành viên
</t>
  </si>
  <si>
    <t>Số tạm đình chỉ thi hành án (Điều 49 Luật Thi hành án dân sự)</t>
  </si>
  <si>
    <t>Số đình chỉ thi hành án (Điều 50 Luật Thi hành án dân sự)</t>
  </si>
  <si>
    <t>Số hoãn thi hành án( Điều 48 Luật Thi hành án dân sự)</t>
  </si>
  <si>
    <t>Số chưa có điều kiện thi hành (Điều 44a Luật Thi hành án dân sự)</t>
  </si>
  <si>
    <t>Số hoãn thi hành án (Điều 48 Luật Thi hành án dân sự)</t>
  </si>
  <si>
    <t>Số  hoãn thi hành án (Điều 48 Luật Thi hành án dân sự)</t>
  </si>
  <si>
    <t>Số  tạm đình chỉ thi hành án (Điều 49 Luật Thi hành án dân sự)</t>
  </si>
  <si>
    <t>Số  chưa có điều kiện thi hành (Điều 44a Luật Thi hành án dân sự)</t>
  </si>
  <si>
    <r>
      <rPr>
        <b/>
        <sz val="9"/>
        <rFont val="Times New Roman"/>
        <family val="1"/>
      </rPr>
      <t>Kết quả giải quyết số việc thuộc thẩm quyền</t>
    </r>
    <r>
      <rPr>
        <sz val="9"/>
        <rFont val="Times New Roman"/>
        <family val="1"/>
      </rPr>
      <t xml:space="preserve"> (Việc)</t>
    </r>
  </si>
  <si>
    <t>Số hoãn thi hành án (Điều 48 Luật Thi hành án dân sự )</t>
  </si>
  <si>
    <t xml:space="preserve"> Số chưa có điều kiện thi hành ( Điều 44a Luật Thi hành án dân sự)</t>
  </si>
  <si>
    <r>
      <t>Trường hợp khác</t>
    </r>
  </si>
  <si>
    <t xml:space="preserve">
Tổng số chuyển
kỳ sau</t>
  </si>
  <si>
    <t>Tạm dừng THA để GQKN</t>
  </si>
  <si>
    <t>1.9</t>
  </si>
  <si>
    <t>1.10</t>
  </si>
  <si>
    <t>Nguyễn Hồng Nga</t>
  </si>
  <si>
    <t>Nguyễn Thị Kim Yến</t>
  </si>
  <si>
    <t>Ngô Minh Thành</t>
  </si>
  <si>
    <t>Trần Thanh Lương</t>
  </si>
  <si>
    <t>Hà Vi Tùng</t>
  </si>
  <si>
    <t>Nguyễn Đức Minh</t>
  </si>
  <si>
    <t>Lữ Văn Quí</t>
  </si>
  <si>
    <t>Hồ Sỹ Thông</t>
  </si>
  <si>
    <t>Nguyễn T. Thanh Miền</t>
  </si>
  <si>
    <t>Trần Thị Thanh Nga</t>
  </si>
  <si>
    <t>Trần Đức Tín</t>
  </si>
  <si>
    <t>Ngô Trí Hùng</t>
  </si>
  <si>
    <t>Trương Quang Hy</t>
  </si>
  <si>
    <t>Lê Tấn Dũng</t>
  </si>
  <si>
    <t>Ng. Kiều Khánh Trang</t>
  </si>
  <si>
    <t>Đinh Đình Hiền</t>
  </si>
  <si>
    <t>Võ Văn Hiếu</t>
  </si>
  <si>
    <t>Nguyễn Thanh Tùng</t>
  </si>
  <si>
    <t>Bùi Thị Minh Ngà</t>
  </si>
  <si>
    <t>THADS Tp. Phan Thiết</t>
  </si>
  <si>
    <t>THADS Tx. Lagi</t>
  </si>
  <si>
    <t>Trần Thanh An</t>
  </si>
  <si>
    <t>Hồ Thị Khánh Huệ</t>
  </si>
  <si>
    <t>Nguyễn Chí Lập</t>
  </si>
  <si>
    <t>THADS H. Tuy Phong</t>
  </si>
  <si>
    <t>Trần Khắc Minh</t>
  </si>
  <si>
    <t>Trần Sơn</t>
  </si>
  <si>
    <t>Nguyễn Thái Thường</t>
  </si>
  <si>
    <t>Cao Thị Diệu Huyền</t>
  </si>
  <si>
    <t>Qua Đình Thiện</t>
  </si>
  <si>
    <t>THADS H. Bắc Bình</t>
  </si>
  <si>
    <t>Tiền Minh Sướng</t>
  </si>
  <si>
    <t>Lê Văn Hoàng</t>
  </si>
  <si>
    <t>Võ Duy Giáp</t>
  </si>
  <si>
    <t>Trần Trương Thọ</t>
  </si>
  <si>
    <t>Huỳnh Thảo Huy</t>
  </si>
  <si>
    <t>THADS H. Đức Linh</t>
  </si>
  <si>
    <t>THADS H. Tánh Linh</t>
  </si>
  <si>
    <t>THADS H. Hàm T. Bắc</t>
  </si>
  <si>
    <t>THADS H. Hàm T. Nam</t>
  </si>
  <si>
    <t>THADS H. Hàm Tân</t>
  </si>
  <si>
    <t>THADS H. Phú Quý</t>
  </si>
  <si>
    <t>Lê Ngọc Thiện</t>
  </si>
  <si>
    <t>Huỳnh Tấn Tài</t>
  </si>
  <si>
    <t>Nguyễn Thị Hoà</t>
  </si>
  <si>
    <t>Hoàng Văn Phụng</t>
  </si>
  <si>
    <t>Nguyễn Văn Lập</t>
  </si>
  <si>
    <t>Phan Văn Lại</t>
  </si>
  <si>
    <t>Hồ Triều Châu</t>
  </si>
  <si>
    <t>Lê Ngọc Phách</t>
  </si>
  <si>
    <t>Trần Thị Loan</t>
  </si>
  <si>
    <t>Thông Thị Kiến</t>
  </si>
  <si>
    <t>Nguyễn Xuân Kiều</t>
  </si>
  <si>
    <t>Nguyễn Thành Nhân</t>
  </si>
  <si>
    <t>Phạm Thị Sáng</t>
  </si>
  <si>
    <t>Lê Văn Cao</t>
  </si>
  <si>
    <t>Nguyễn Thanh Cao</t>
  </si>
  <si>
    <t>Nguyễn Linh Giang</t>
  </si>
  <si>
    <t>Bùi Thái Bình</t>
  </si>
  <si>
    <t>Nguyễn Thị Ngữ</t>
  </si>
  <si>
    <t>Nguyễn Văn Thành</t>
  </si>
  <si>
    <t xml:space="preserve"> Đơn vị tính: Việc</t>
  </si>
  <si>
    <t>Cục THADS tỉnh</t>
  </si>
  <si>
    <t>Chi cục THADS TP Phan Thiết</t>
  </si>
  <si>
    <t>Chi cục THADS TX Lagi</t>
  </si>
  <si>
    <t>Chi cục THADS H. Tuy Phong</t>
  </si>
  <si>
    <t>Chi cục THADS H. Bắc Bình</t>
  </si>
  <si>
    <t>Chi cục THADS H. Đức Linh</t>
  </si>
  <si>
    <t>Chi cục THADS H. Tánh Linh</t>
  </si>
  <si>
    <t>Chi cục THADS H. Hàm T.Bắc</t>
  </si>
  <si>
    <t>Chi cục THADS H. Hàm T. Nam</t>
  </si>
  <si>
    <t>Chi cục THADS H. Hàm Tân</t>
  </si>
  <si>
    <t>Chi cục THADS H. Phú Quý</t>
  </si>
  <si>
    <t xml:space="preserve">Đơn vị báo cáo: </t>
  </si>
  <si>
    <t>Đơn vị  nhận báo cáo:</t>
  </si>
  <si>
    <r>
      <t xml:space="preserve">Số lượng </t>
    </r>
    <r>
      <rPr>
        <i/>
        <sz val="12"/>
        <rFont val="Times New Roman"/>
        <family val="1"/>
      </rPr>
      <t>(1.000 VN đồng)</t>
    </r>
  </si>
  <si>
    <r>
      <t xml:space="preserve">
Tổng số </t>
    </r>
    <r>
      <rPr>
        <b/>
        <sz val="8"/>
        <rFont val="Times New Roman"/>
        <family val="1"/>
      </rPr>
      <t>chuyển</t>
    </r>
    <r>
      <rPr>
        <b/>
        <sz val="9"/>
        <rFont val="Times New Roman"/>
        <family val="1"/>
      </rPr>
      <t xml:space="preserve">
kỳ sau</t>
    </r>
  </si>
  <si>
    <r>
      <t xml:space="preserve">Tạm dừng THA để </t>
    </r>
    <r>
      <rPr>
        <b/>
        <sz val="8"/>
        <rFont val="Times New Roman"/>
        <family val="1"/>
      </rPr>
      <t>GQKN</t>
    </r>
  </si>
  <si>
    <t>Trường hợp khác</t>
  </si>
  <si>
    <t xml:space="preserve"> Đơn vị tính: Việc, Đơn</t>
  </si>
  <si>
    <t>Cục THADS tỉnh Bình Thuận</t>
  </si>
  <si>
    <t>Tổng cục THADS - Bộ Tư pháp</t>
  </si>
  <si>
    <t xml:space="preserve">Ngày nhận báo cáo:……/….…/……… </t>
  </si>
  <si>
    <t>Tổng cục THADS- Bộ Tư pháp</t>
  </si>
  <si>
    <t>Ngày nhận báo cáo:……/….…/………</t>
  </si>
  <si>
    <t>Trần Quốc Bảo</t>
  </si>
  <si>
    <t>Nguyễn Văn Bình</t>
  </si>
  <si>
    <t>PHÓ CỤC TRƯỞNG</t>
  </si>
  <si>
    <t>KT. CỤC TRƯỞNG</t>
  </si>
  <si>
    <t xml:space="preserve">                             NGƯỜI LẬP BIỂU                                                                                                        </t>
  </si>
  <si>
    <t xml:space="preserve">                                       Trần Quốc Bảo</t>
  </si>
  <si>
    <t>Đơn vị gửi báo cáo:</t>
  </si>
  <si>
    <t>Đơn vị nhận báo cáo:</t>
  </si>
  <si>
    <t>Đơn vị  báo cáo:</t>
  </si>
  <si>
    <t xml:space="preserve"> Đơn vị tính: Việc </t>
  </si>
  <si>
    <r>
      <t xml:space="preserve">Số lượng </t>
    </r>
    <r>
      <rPr>
        <i/>
        <sz val="14"/>
        <rFont val="Times New Roman"/>
        <family val="1"/>
      </rPr>
      <t>(việc)</t>
    </r>
  </si>
  <si>
    <t>(Từ ngày 01 tháng 10 năm 2015 đến ngày 31 tháng 12 năm 2015)</t>
  </si>
  <si>
    <t>Trần Nam</t>
  </si>
  <si>
    <t xml:space="preserve"> Biểu số: 12/TK-THA</t>
  </si>
  <si>
    <t>TỐ CÁO VÀ GIẢI QUYẾT 
TỐ CÁO TRONG THI HÀNH ÁN DÂN SỰ</t>
  </si>
  <si>
    <t>Đơn vị tính: Việc và Đơn</t>
  </si>
  <si>
    <r>
      <t xml:space="preserve">Tổng số đơn tiếp nhận
</t>
    </r>
    <r>
      <rPr>
        <sz val="8"/>
        <rFont val="Times New Roman"/>
        <family val="1"/>
      </rPr>
      <t>(Đơn)</t>
    </r>
    <r>
      <rPr>
        <b/>
        <sz val="8"/>
        <rFont val="Times New Roman"/>
        <family val="1"/>
      </rPr>
      <t xml:space="preserve">
</t>
    </r>
  </si>
  <si>
    <r>
      <t>Số việc tiếp nhận</t>
    </r>
    <r>
      <rPr>
        <sz val="9"/>
        <rFont val="Times New Roman"/>
        <family val="1"/>
      </rPr>
      <t xml:space="preserve"> (Việc)</t>
    </r>
  </si>
  <si>
    <r>
      <t xml:space="preserve">Kết quả giải quyết số việc thuộc thẩm quyền </t>
    </r>
    <r>
      <rPr>
        <sz val="9"/>
        <rFont val="Times New Roman"/>
        <family val="1"/>
      </rPr>
      <t>(Viêc)</t>
    </r>
    <r>
      <rPr>
        <b/>
        <sz val="9"/>
        <rFont val="Times New Roman"/>
        <family val="1"/>
      </rPr>
      <t xml:space="preserve"> </t>
    </r>
  </si>
  <si>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</si>
  <si>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</si>
  <si>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</si>
  <si>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</si>
  <si>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</si>
  <si>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</si>
  <si>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</si>
  <si>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</si>
  <si>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</si>
  <si>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</si>
  <si>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</si>
  <si>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</si>
  <si>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</si>
  <si>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</si>
  <si>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</si>
  <si>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việc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</si>
  <si>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</si>
  <si>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</si>
  <si>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</si>
  <si>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</si>
  <si>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Huỳnh Văn Hùng</t>
  </si>
  <si>
    <t>3 tháng / năm 2016</t>
  </si>
  <si>
    <t>(Từ ngày 01 tháng 10 năm 2015 đến ngày 31 tháng 12 năm 2016)</t>
  </si>
  <si>
    <t>Tỷ lệ: 
( %) (xong  + đình chỉ+ giảm)/ Có điều kiện * 100%</t>
  </si>
  <si>
    <t>Khưu Quốc Việt</t>
  </si>
  <si>
    <t>Biểu số: 08/TK-THA</t>
  </si>
  <si>
    <t>SỐ VIỆC ĐỀ NGHỊ TÒA ÁN XÉT MIỄN, GIẢM VÀ KẾT QUẢ XÉT MIỄN, GIẢM NGHĨA VỤ THI HÀNH ÁN DÂN SỰ</t>
  </si>
  <si>
    <t>Ngày nhận báo cáo:……………………</t>
  </si>
  <si>
    <t>Tổng số việc và số tiền  đã  đề nghị Tòa án xét miễn, giảm nghĩa vụ thi hành án dân sự</t>
  </si>
  <si>
    <t>Số việc và tiền  đã  đề nghị Tòa án xét
miễn nghĩa vụ thi hành án dân sự
 và kết quản xét miễn</t>
  </si>
  <si>
    <t>Số việc và tiền  đã  đề nghị Tòa án xét
giảm nghĩa vụ thi hành án dân sự
và kết quả xét giảm</t>
  </si>
  <si>
    <t>Tổng số đã đề nghị xét miễn, giảm</t>
  </si>
  <si>
    <t>Tổng số đã
 xét miễn, giảm</t>
  </si>
  <si>
    <t>Số đã đề nghị xét miễn</t>
  </si>
  <si>
    <t>Số  đã xét miễn</t>
  </si>
  <si>
    <t>Số  đã đề nghị giảm</t>
  </si>
  <si>
    <t>Số đã giảm</t>
  </si>
  <si>
    <t>( Từ ngày 01 tháng 10 năm 2015 đến ngày 31 tháng 3 năm 2016 )</t>
  </si>
  <si>
    <r>
      <t>Cục THADS tỉnh Bình Thuận</t>
    </r>
    <r>
      <rPr>
        <sz val="12"/>
        <rFont val="Times New Roman"/>
        <family val="1"/>
      </rPr>
      <t xml:space="preserve">
Đơn vị nhận báo cáo:</t>
    </r>
  </si>
  <si>
    <t>Tổng Cục THADS- Bộ Tư Pháp</t>
  </si>
  <si>
    <t xml:space="preserve"> Đơn vị tính Việc và 1.000  đồng</t>
  </si>
  <si>
    <t>Số việc, tiền trong bản án, quyết định tuyên không rõ, có sai sót, cơ quan
 Thi hành án đã có văn bản yêu cầu đính chính, giải thích và
kết quả trả lời của cơ quan có thẩm quyền</t>
  </si>
  <si>
    <t>Số việc, tiền cơ quan thi hành án kiến nghị cơ quan có thẩm quyền kháng nghị theo thủ tục giám đốc thẩm, tái thẩm và kết quả xử lý của cơ quan có thẩm quyền</t>
  </si>
  <si>
    <t>Tổng số việc đã đề nghị đính chính, giải thích</t>
  </si>
  <si>
    <t>Kết quả trả lời của cơ quan có
thẩm quyền</t>
  </si>
  <si>
    <t xml:space="preserve">Tổng số tiền đã đề nghị đính chính, giải thích
</t>
  </si>
  <si>
    <t>Tổng
 số</t>
  </si>
  <si>
    <t>Kết quả xử lý của cơ quan có thẩm quyền</t>
  </si>
  <si>
    <t xml:space="preserve">Số tiền trong các bản án, quyết định có căn cứ giám đốc thẩm, tái  thẩm          </t>
  </si>
  <si>
    <t>Số đã trả lời</t>
  </si>
  <si>
    <t>Số trả lời  chưa rõ</t>
  </si>
  <si>
    <t xml:space="preserve">Số chưa trả lời  </t>
  </si>
  <si>
    <t>Số đã kháng nghị</t>
  </si>
  <si>
    <t>Số chưa kháng nghị</t>
  </si>
  <si>
    <t>11</t>
  </si>
  <si>
    <t>12</t>
  </si>
  <si>
    <t>13</t>
  </si>
  <si>
    <t>14</t>
  </si>
  <si>
    <t>Số đã
 trả lời</t>
  </si>
  <si>
    <t>Đơn vị tính: Việc  và  1.000 VN đồng</t>
  </si>
  <si>
    <t>Ngày nhận báo cáo….…………….</t>
  </si>
  <si>
    <t xml:space="preserve">SỐ VIỆC, SỐ TIỀN TRONG CÁC BẢN ÁN, QUYẾT ĐỊNH TOÀ ÁN TUYÊN KHÔNG RÕ, CÓ SAI SÓT, CƠ QUAN THI HÀNH ÁN ĐÃ YÊU CẦU GIẢI THÍCH, KIẾN NGHỊ VÀ KẾT QUẢ TRẢ LỜI CỦA TÒA ÁN CÓ THẨM QUYỀN
</t>
  </si>
  <si>
    <t>Ban hành theo TT 08/2015/TT-BTP
ngày 26 tháng 6 năm 2015</t>
  </si>
  <si>
    <t>Biểu số: 10/TK-THA</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</si>
  <si>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</si>
  <si>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</si>
  <si>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</si>
  <si>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</si>
  <si>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</si>
  <si>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</si>
  <si>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</si>
  <si>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</si>
  <si>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</si>
  <si>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</si>
  <si>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</si>
  <si>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</si>
  <si>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</si>
  <si>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</si>
  <si>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6 tháng/ năm 2016</t>
  </si>
  <si>
    <t>SỐ VIỆC CƯỠNG CHẾ THI HÀNH ÁN KHÔNG HUY ĐỘNG LỰC LƯỢNG VÀ CÓ HUY ĐỘNG LỰC LƯỢNG
6 tháng / năm 2016</t>
  </si>
  <si>
    <t>Ban hành kèm theo TT số 08/2015/TT-BTP</t>
  </si>
  <si>
    <t>(Từ ngày 01 tháng 10 năm 2015 đến ngày 31 tháng 3 năm 2015)</t>
  </si>
  <si>
    <t xml:space="preserve"> Biểu số: 13/TK-THA</t>
  </si>
  <si>
    <t>KẾT QUẢ THỰC HIỆN CHỈ TIÊU BIÊN CHẾ VÀ CƠ CẤU
CÔNG CHỨC CỦA CƠ QUAN THI HÀNH ÁN DÂN SỰ</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</si>
  <si>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</si>
  <si>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</si>
  <si>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</si>
  <si>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</si>
  <si>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</si>
  <si>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</si>
  <si>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</si>
  <si>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</si>
  <si>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</si>
  <si>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</si>
  <si>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</si>
  <si>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</si>
  <si>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</si>
  <si>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</si>
  <si>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So cấp</t>
  </si>
  <si>
    <t>TTr VCC</t>
  </si>
  <si>
    <t>TTrVC</t>
  </si>
  <si>
    <t xml:space="preserve">TTr viên </t>
  </si>
  <si>
    <t>Thư ký</t>
  </si>
  <si>
    <t>CV
CC</t>
  </si>
  <si>
    <t>CVC</t>
  </si>
  <si>
    <t xml:space="preserve">CV
</t>
  </si>
  <si>
    <t>Cục Thi hành án DS tỉnh</t>
  </si>
  <si>
    <t xml:space="preserve">                          ……………., ngày…… tháng….... năm ………</t>
  </si>
  <si>
    <t xml:space="preserve">  NGƯỜI LẬP BIỂU</t>
  </si>
  <si>
    <t xml:space="preserve">        6 tháng/ năm 2016</t>
  </si>
  <si>
    <t>Ban hành kèm theo TT số: 08/2015/TT-BTP</t>
  </si>
  <si>
    <t xml:space="preserve"> ngày 26 tháng 6 năm 2015</t>
  </si>
  <si>
    <t>Biểu số: 14/TK-THA</t>
  </si>
  <si>
    <t>TRÌNH ĐỘ CÔNG CHỨC</t>
  </si>
  <si>
    <t>CỦA CƠ QUAN THI HÀNH ÁN DÂN SỰ</t>
  </si>
  <si>
    <t xml:space="preserve">Tổng số
</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</si>
  <si>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</si>
  <si>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</si>
  <si>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</si>
  <si>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</si>
  <si>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</si>
  <si>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</si>
  <si>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</si>
  <si>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</si>
  <si>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</si>
  <si>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</si>
  <si>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</si>
  <si>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</si>
  <si>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</si>
  <si>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</si>
  <si>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</si>
  <si>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</si>
  <si>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</si>
  <si>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</si>
  <si>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</si>
  <si>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</si>
  <si>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Biểu số: 15/TK-THA</t>
  </si>
  <si>
    <t>Ngày nhận báo cáo:….……………...…</t>
  </si>
  <si>
    <t>Đơn vị tính: Cuộc giám sát</t>
  </si>
  <si>
    <t xml:space="preserve">Chia theo cơ quan tiến hành giám sát </t>
  </si>
  <si>
    <t>Chia theo kết quả giám sát</t>
  </si>
  <si>
    <t>Kết quả thực hiện kết luận giám sát</t>
  </si>
  <si>
    <t>Quốc hội</t>
  </si>
  <si>
    <t>Hội đồng nhân dân</t>
  </si>
  <si>
    <t>Mặt trận Tổ Quốc</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</si>
  <si>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</si>
  <si>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</si>
  <si>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</si>
  <si>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</si>
  <si>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</si>
  <si>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</si>
  <si>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Biểu số: 16/TK-THA</t>
  </si>
  <si>
    <t>Đơn vị tính: Cuộc</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</si>
  <si>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</si>
  <si>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</si>
  <si>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</si>
  <si>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</si>
  <si>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</si>
  <si>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</si>
  <si>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</si>
  <si>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</si>
  <si>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</si>
  <si>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</si>
  <si>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</si>
  <si>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(Từ ngày 01 tháng 10 năm 2015 đến ngày 31 tháng 3 năm 2016 )</t>
  </si>
  <si>
    <t>Biểu số: 17/TK-THA</t>
  </si>
  <si>
    <t>Tổng cục THADS- Bộ Tư Pháp</t>
  </si>
  <si>
    <t>Đơn vị tính: việc và  1.000 đồng</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</si>
  <si>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</si>
  <si>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</si>
  <si>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</si>
  <si>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</si>
  <si>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</si>
  <si>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</si>
  <si>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Số việc và số tiền bị
kháng nghị</t>
  </si>
  <si>
    <t>Số
 việc</t>
  </si>
  <si>
    <t>Số
 tiền</t>
  </si>
  <si>
    <t>Chấp nhận
toàn bộ</t>
  </si>
  <si>
    <t>Chấp nhận
một phần</t>
  </si>
  <si>
    <t>Không chấp nhận</t>
  </si>
  <si>
    <t>Số 
việc</t>
  </si>
  <si>
    <t xml:space="preserve">Chấp nhận một phần </t>
  </si>
  <si>
    <t xml:space="preserve">Không chấp nhận </t>
  </si>
  <si>
    <t>( Từ ngày 01 tháng 10 năm 2013 đến ngày 31 tháng 3 năm 2016 )</t>
  </si>
  <si>
    <t>Biểu số: 18/TK-THA</t>
  </si>
  <si>
    <t>SỐ VIỆC, SỐ TIỀN BỒI THƯỜNG CỦA NHÀ NƯỚC</t>
  </si>
  <si>
    <t xml:space="preserve"> Đơn vị gửi báo cáo:</t>
  </si>
  <si>
    <t>TRONG THI HÀNH ÁN DÂN SỰ</t>
  </si>
  <si>
    <t>Đơn vị tính: Việc và 1.000 đồng</t>
  </si>
  <si>
    <t xml:space="preserve">Số việc và số tiền bồi thường của nhà nước trong THADS được thụ lý </t>
  </si>
  <si>
    <t>Kết quả giải quyết</t>
  </si>
  <si>
    <t>Số việc, số tiền đã 
xét bồi thường</t>
  </si>
  <si>
    <t>Số việc, số tiền chưa
 xét bồi thường</t>
  </si>
  <si>
    <t>Số năm trước
 chuyển sang</t>
  </si>
  <si>
    <t xml:space="preserve">Số việc </t>
  </si>
  <si>
    <t xml:space="preserve">Số tiền </t>
  </si>
  <si>
    <t xml:space="preserve"> Số thụ lý mới
</t>
  </si>
  <si>
    <t>(Từ ngày 01 tháng 10 năm 2015 đến ngày 31 tháng 3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</si>
  <si>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</si>
  <si>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</si>
  <si>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r>
      <rPr>
        <sz val="12"/>
        <color indexed="10"/>
        <rFont val="Times New Roman"/>
        <family val="1"/>
      </rPr>
      <t>6</t>
    </r>
    <r>
      <rPr>
        <sz val="12"/>
        <rFont val="Times New Roman"/>
        <family val="1"/>
      </rPr>
      <t xml:space="preserve"> tháng / năm 2016</t>
    </r>
  </si>
  <si>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</si>
  <si>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</si>
  <si>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</si>
  <si>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</si>
  <si>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</si>
  <si>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</si>
  <si>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KT. CỤC TRƯỞNG 
PHÓ CỤC TRƯỞNG
</t>
  </si>
  <si>
    <t>KT.CỤC TRƯỞNG
PHÓ CỤC TRƯỞNG</t>
  </si>
  <si>
    <t xml:space="preserve">SỐ VIỆC, SỐ TIỀN TRONG CÁC BẢN ÁN, QUYẾT ĐỊNH KHÁNG NGHỊ  VÀ KẾT QUẢ XỬ LÝ KHÁNG NGHỊ
 CỦA TOÀ ÁN VÀ VIỆN KIỂM SÁT
</t>
  </si>
  <si>
    <t xml:space="preserve">SỐ CUỘC KIỂM SÁT VÀ KẾT QUẢ  KIỂM SÁT  
</t>
  </si>
  <si>
    <t xml:space="preserve">Đơn vị nhận báo cáo:                                                       </t>
  </si>
  <si>
    <t>Ban hành kèm theo TT số 08/2015/TT-BTP
 ngày 26 tháng 6 năm 2015</t>
  </si>
  <si>
    <r>
      <t xml:space="preserve">
SỐ CUỘC GIÁM SÁT VÀ KẾT QUẢ THỰC HIỆN 
KẾT LUẬN GIÁM SÁT</t>
    </r>
    <r>
      <rPr>
        <i/>
        <sz val="13"/>
        <rFont val="Times New Roman"/>
        <family val="1"/>
      </rPr>
      <t xml:space="preserve">
</t>
    </r>
  </si>
  <si>
    <t xml:space="preserve">2 </t>
  </si>
  <si>
    <t xml:space="preserve">12 </t>
  </si>
  <si>
    <t xml:space="preserve">                                           NGƯỜI LẬP BIỂU                                                                                                        </t>
  </si>
  <si>
    <t>Ng T. Thanh Miền</t>
  </si>
  <si>
    <t xml:space="preserve">Đơn vị gửi báo cáo:                                            </t>
  </si>
  <si>
    <r>
      <rPr>
        <sz val="12"/>
        <rFont val="Times New Roman"/>
        <family val="1"/>
      </rPr>
      <t xml:space="preserve">Bình Thuận, ngày 06 tháng </t>
    </r>
    <r>
      <rPr>
        <sz val="12"/>
        <color indexed="10"/>
        <rFont val="Times New Roman"/>
        <family val="1"/>
      </rPr>
      <t>4</t>
    </r>
    <r>
      <rPr>
        <sz val="12"/>
        <rFont val="Times New Roman"/>
        <family val="1"/>
      </rPr>
      <t xml:space="preserve"> năm 2016</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</si>
</sst>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s>
  <fonts count="89">
    <font>
      <sz val="12"/>
      <name val="Times New Roman"/>
      <family val="1"/>
    </font>
    <font>
      <sz val="12"/>
      <name val=".VnTimeH"/>
      <family val="2"/>
    </font>
    <font>
      <sz val="12"/>
      <name val=".VnTime"/>
      <family val="2"/>
    </font>
    <font>
      <sz val="10"/>
      <name val=".VnHelvetInsH"/>
      <family val="2"/>
    </font>
    <font>
      <sz val="8"/>
      <name val=".VnTime"/>
      <family val="2"/>
    </font>
    <font>
      <sz val="10"/>
      <name val=".VnTime"/>
      <family val="2"/>
    </font>
    <font>
      <b/>
      <sz val="12"/>
      <name val=".VnTimeH"/>
      <family val="2"/>
    </font>
    <font>
      <sz val="9"/>
      <name val=".VnTime"/>
      <family val="2"/>
    </font>
    <font>
      <b/>
      <sz val="12"/>
      <name val=".VnTime"/>
      <family val="2"/>
    </font>
    <font>
      <sz val="10"/>
      <name val=".VnTimeH"/>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b/>
      <sz val="10"/>
      <name val=".VnTimeH"/>
      <family val="2"/>
    </font>
    <font>
      <i/>
      <sz val="13"/>
      <name val="Times New Roman"/>
      <family val="1"/>
    </font>
    <font>
      <sz val="11"/>
      <name val="Arial"/>
      <family val="2"/>
    </font>
    <font>
      <sz val="9"/>
      <name val="Times New Roman"/>
      <family val="1"/>
    </font>
    <font>
      <b/>
      <sz val="14"/>
      <name val="Times New Roman"/>
      <family val="1"/>
    </font>
    <font>
      <b/>
      <sz val="8"/>
      <name val="Times New Roman"/>
      <family val="1"/>
    </font>
    <font>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sz val="11"/>
      <color indexed="8"/>
      <name val="Times New Roman"/>
      <family val="1"/>
    </font>
    <font>
      <sz val="10"/>
      <color indexed="8"/>
      <name val="Times New Roman"/>
      <family val="1"/>
    </font>
    <font>
      <sz val="10"/>
      <color indexed="8"/>
      <name val="Arial"/>
      <family val="2"/>
    </font>
    <font>
      <sz val="8"/>
      <color indexed="8"/>
      <name val=".VnHelvetInsH"/>
      <family val="0"/>
    </font>
    <font>
      <sz val="9"/>
      <color indexed="8"/>
      <name val=".VnHelvetInsH"/>
      <family val="0"/>
    </font>
    <font>
      <b/>
      <i/>
      <sz val="9"/>
      <name val="Times New Roman"/>
      <family val="1"/>
    </font>
    <font>
      <i/>
      <sz val="9"/>
      <name val="Times New Roman"/>
      <family val="1"/>
    </font>
    <font>
      <i/>
      <sz val="8"/>
      <name val="Times New Roman"/>
      <family val="1"/>
    </font>
    <font>
      <sz val="6"/>
      <name val="Times New Roman"/>
      <family val="1"/>
    </font>
    <font>
      <sz val="11"/>
      <color indexed="10"/>
      <name val="Times New Roman"/>
      <family val="1"/>
    </font>
    <font>
      <sz val="10"/>
      <color indexed="10"/>
      <name val="Times New Roman"/>
      <family val="1"/>
    </font>
    <font>
      <sz val="10"/>
      <name val="Arial"/>
      <family val="0"/>
    </font>
    <font>
      <i/>
      <sz val="14"/>
      <name val="Times New Roman"/>
      <family val="1"/>
    </font>
    <font>
      <b/>
      <i/>
      <sz val="8"/>
      <name val="Times New Roman"/>
      <family val="1"/>
    </font>
    <font>
      <sz val="8"/>
      <name val="Traditional Arabic"/>
      <family val="1"/>
    </font>
    <font>
      <b/>
      <i/>
      <sz val="8"/>
      <name val="Traditional Arabic"/>
      <family val="1"/>
    </font>
    <font>
      <sz val="12"/>
      <color indexed="10"/>
      <name val=".VnTime"/>
      <family val="2"/>
    </font>
    <font>
      <sz val="10"/>
      <color indexed="10"/>
      <name val=".VnTime"/>
      <family val="2"/>
    </font>
    <font>
      <sz val="9"/>
      <name val="Tahoma"/>
      <family val="0"/>
    </font>
    <font>
      <b/>
      <sz val="9"/>
      <name val="Tahoma"/>
      <family val="0"/>
    </font>
    <font>
      <sz val="8.5"/>
      <name val="Times New Roman"/>
      <family val="1"/>
    </font>
    <font>
      <sz val="13"/>
      <name val=".VnTime"/>
      <family val="2"/>
    </font>
    <font>
      <b/>
      <sz val="12"/>
      <name val=".VnHelvetInsH"/>
      <family val="2"/>
    </font>
    <font>
      <b/>
      <sz val="13"/>
      <name val=".VnTime"/>
      <family val="2"/>
    </font>
    <font>
      <sz val="13"/>
      <name val="Arial"/>
      <family val="0"/>
    </font>
    <font>
      <sz val="11"/>
      <color indexed="12"/>
      <name val="Times New Roman"/>
      <family val="1"/>
    </font>
    <font>
      <sz val="6"/>
      <color indexed="10"/>
      <name val="Times New Roman"/>
      <family val="1"/>
    </font>
    <font>
      <sz val="8"/>
      <color indexed="10"/>
      <name val="Times New Roman"/>
      <family val="1"/>
    </font>
    <font>
      <b/>
      <sz val="10"/>
      <color indexed="8"/>
      <name val="Times New Roman"/>
      <family val="1"/>
    </font>
    <font>
      <b/>
      <sz val="11"/>
      <color indexed="8"/>
      <name val="Times New Roman"/>
      <family val="1"/>
    </font>
    <font>
      <b/>
      <sz val="12"/>
      <color indexed="8"/>
      <name val="Times New Roman"/>
      <family val="1"/>
    </font>
    <font>
      <sz val="8"/>
      <color indexed="8"/>
      <name val="Times New Roman"/>
      <family val="1"/>
    </font>
    <font>
      <b/>
      <sz val="8"/>
      <color indexed="8"/>
      <name val="Times New Roman"/>
      <family val="1"/>
    </font>
    <font>
      <b/>
      <sz val="9"/>
      <color indexed="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double"/>
    </border>
    <border>
      <left>
        <color indexed="63"/>
      </left>
      <right style="thin"/>
      <top>
        <color indexed="63"/>
      </top>
      <bottom style="thin"/>
    </border>
    <border>
      <left>
        <color indexed="63"/>
      </left>
      <right>
        <color indexed="63"/>
      </right>
      <top style="double"/>
      <bottom>
        <color indexed="63"/>
      </bottom>
    </border>
    <border>
      <left style="thin"/>
      <right>
        <color indexed="63"/>
      </right>
      <top style="thin"/>
      <bottom style="double"/>
    </border>
    <border>
      <left style="thin"/>
      <right>
        <color indexed="63"/>
      </right>
      <top>
        <color indexed="63"/>
      </top>
      <bottom style="thin"/>
    </border>
    <border>
      <left>
        <color indexed="63"/>
      </left>
      <right style="thin"/>
      <top style="thin"/>
      <bottom style="double"/>
    </border>
    <border>
      <left style="thin"/>
      <right style="thin"/>
      <top>
        <color indexed="63"/>
      </top>
      <bottom style="double"/>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66"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63">
    <xf numFmtId="0" fontId="0" fillId="0" borderId="0" xfId="0" applyAlignment="1">
      <alignment/>
    </xf>
    <xf numFmtId="49" fontId="2" fillId="0" borderId="0" xfId="0" applyNumberFormat="1" applyFont="1" applyAlignment="1">
      <alignment/>
    </xf>
    <xf numFmtId="49" fontId="0" fillId="0" borderId="0" xfId="0" applyNumberFormat="1" applyFill="1" applyAlignment="1">
      <alignment/>
    </xf>
    <xf numFmtId="49" fontId="22" fillId="0" borderId="0" xfId="0" applyNumberFormat="1" applyFont="1" applyAlignment="1">
      <alignment/>
    </xf>
    <xf numFmtId="49" fontId="13" fillId="0" borderId="10" xfId="0" applyNumberFormat="1" applyFont="1" applyBorder="1" applyAlignment="1">
      <alignment horizontal="center"/>
    </xf>
    <xf numFmtId="49" fontId="5" fillId="0" borderId="0" xfId="0" applyNumberFormat="1" applyFont="1" applyBorder="1" applyAlignment="1">
      <alignment/>
    </xf>
    <xf numFmtId="49" fontId="2" fillId="0" borderId="0" xfId="0" applyNumberFormat="1" applyFont="1" applyBorder="1" applyAlignment="1">
      <alignment/>
    </xf>
    <xf numFmtId="49" fontId="11" fillId="0" borderId="0" xfId="0" applyNumberFormat="1" applyFont="1" applyAlignment="1">
      <alignment/>
    </xf>
    <xf numFmtId="49" fontId="22" fillId="0" borderId="0" xfId="0" applyNumberFormat="1" applyFont="1" applyBorder="1" applyAlignment="1">
      <alignment/>
    </xf>
    <xf numFmtId="49" fontId="7" fillId="0" borderId="0" xfId="0" applyNumberFormat="1" applyFont="1" applyBorder="1" applyAlignment="1">
      <alignment horizontal="center"/>
    </xf>
    <xf numFmtId="49" fontId="13" fillId="0" borderId="10" xfId="0" applyNumberFormat="1" applyFont="1" applyFill="1" applyBorder="1" applyAlignment="1">
      <alignment horizontal="left"/>
    </xf>
    <xf numFmtId="49" fontId="1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13" fillId="0" borderId="12" xfId="0" applyNumberFormat="1" applyFont="1" applyFill="1" applyBorder="1" applyAlignment="1">
      <alignment/>
    </xf>
    <xf numFmtId="49" fontId="13"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xf>
    <xf numFmtId="49" fontId="14" fillId="0" borderId="10" xfId="0" applyNumberFormat="1" applyFont="1" applyFill="1" applyBorder="1" applyAlignment="1">
      <alignment horizontal="left"/>
    </xf>
    <xf numFmtId="49" fontId="23" fillId="0" borderId="10" xfId="0" applyNumberFormat="1" applyFont="1" applyFill="1" applyBorder="1" applyAlignment="1">
      <alignment horizontal="center" vertical="center" wrapText="1"/>
    </xf>
    <xf numFmtId="49" fontId="14" fillId="0" borderId="13" xfId="0" applyNumberFormat="1" applyFont="1" applyFill="1" applyBorder="1" applyAlignment="1">
      <alignment horizontal="center"/>
    </xf>
    <xf numFmtId="49" fontId="19" fillId="0" borderId="10" xfId="0" applyNumberFormat="1" applyFont="1" applyFill="1" applyBorder="1" applyAlignment="1">
      <alignment horizontal="left"/>
    </xf>
    <xf numFmtId="49" fontId="13"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24" fillId="0" borderId="10" xfId="0" applyNumberFormat="1" applyFont="1" applyFill="1" applyBorder="1" applyAlignment="1">
      <alignment horizontal="center"/>
    </xf>
    <xf numFmtId="49" fontId="27" fillId="0" borderId="0" xfId="0" applyNumberFormat="1" applyFont="1" applyFill="1" applyAlignment="1">
      <alignment/>
    </xf>
    <xf numFmtId="49" fontId="29" fillId="0" borderId="0" xfId="0" applyNumberFormat="1" applyFont="1" applyFill="1" applyAlignment="1">
      <alignment/>
    </xf>
    <xf numFmtId="49" fontId="10" fillId="0" borderId="0" xfId="0" applyNumberFormat="1" applyFont="1" applyFill="1" applyAlignment="1">
      <alignment/>
    </xf>
    <xf numFmtId="49" fontId="20" fillId="0" borderId="0" xfId="0" applyNumberFormat="1" applyFont="1" applyFill="1" applyAlignment="1">
      <alignment wrapText="1"/>
    </xf>
    <xf numFmtId="49" fontId="11" fillId="0" borderId="0" xfId="0" applyNumberFormat="1" applyFont="1" applyFill="1" applyAlignment="1">
      <alignment/>
    </xf>
    <xf numFmtId="49" fontId="10" fillId="0" borderId="0" xfId="0" applyNumberFormat="1" applyFont="1" applyFill="1" applyAlignment="1">
      <alignment wrapText="1"/>
    </xf>
    <xf numFmtId="49" fontId="13" fillId="0" borderId="10" xfId="0" applyNumberFormat="1" applyFont="1" applyFill="1" applyBorder="1" applyAlignment="1">
      <alignment/>
    </xf>
    <xf numFmtId="49" fontId="22" fillId="0" borderId="0" xfId="0" applyNumberFormat="1" applyFont="1" applyFill="1" applyBorder="1" applyAlignment="1">
      <alignment vertical="center" wrapText="1"/>
    </xf>
    <xf numFmtId="49" fontId="25" fillId="0" borderId="0" xfId="0" applyNumberFormat="1" applyFont="1" applyFill="1" applyAlignment="1">
      <alignment/>
    </xf>
    <xf numFmtId="49" fontId="31" fillId="0" borderId="0" xfId="0" applyNumberFormat="1" applyFont="1" applyFill="1" applyBorder="1" applyAlignment="1">
      <alignment vertical="center" wrapText="1"/>
    </xf>
    <xf numFmtId="49" fontId="11" fillId="0" borderId="0" xfId="0" applyNumberFormat="1" applyFont="1" applyAlignment="1">
      <alignment horizontal="left"/>
    </xf>
    <xf numFmtId="2" fontId="2" fillId="0" borderId="0" xfId="0" applyNumberFormat="1" applyFont="1" applyAlignment="1">
      <alignment/>
    </xf>
    <xf numFmtId="2" fontId="8" fillId="0" borderId="0" xfId="0" applyNumberFormat="1" applyFont="1" applyBorder="1" applyAlignment="1">
      <alignment/>
    </xf>
    <xf numFmtId="2" fontId="2" fillId="0" borderId="0" xfId="0" applyNumberFormat="1" applyFont="1" applyBorder="1" applyAlignment="1">
      <alignment/>
    </xf>
    <xf numFmtId="2" fontId="11" fillId="0" borderId="0" xfId="0" applyNumberFormat="1" applyFont="1" applyBorder="1" applyAlignment="1">
      <alignment/>
    </xf>
    <xf numFmtId="2" fontId="2" fillId="0" borderId="0" xfId="0" applyNumberFormat="1" applyFont="1" applyBorder="1" applyAlignment="1">
      <alignment horizontal="center"/>
    </xf>
    <xf numFmtId="2" fontId="7" fillId="0" borderId="0" xfId="0" applyNumberFormat="1" applyFont="1" applyBorder="1" applyAlignment="1">
      <alignment horizontal="center"/>
    </xf>
    <xf numFmtId="2" fontId="7" fillId="0" borderId="0" xfId="0" applyNumberFormat="1" applyFont="1" applyAlignment="1">
      <alignment horizontal="center"/>
    </xf>
    <xf numFmtId="49" fontId="33" fillId="0" borderId="10" xfId="0" applyNumberFormat="1" applyFont="1" applyBorder="1" applyAlignment="1">
      <alignment horizontal="center" vertical="center"/>
    </xf>
    <xf numFmtId="1" fontId="13" fillId="0" borderId="0" xfId="0" applyNumberFormat="1" applyFont="1" applyBorder="1" applyAlignment="1">
      <alignment horizontal="left"/>
    </xf>
    <xf numFmtId="2" fontId="1" fillId="0" borderId="0" xfId="0" applyNumberFormat="1" applyFont="1" applyBorder="1" applyAlignment="1">
      <alignment/>
    </xf>
    <xf numFmtId="2" fontId="5" fillId="0" borderId="0" xfId="0" applyNumberFormat="1" applyFont="1" applyBorder="1" applyAlignment="1">
      <alignment/>
    </xf>
    <xf numFmtId="2" fontId="3" fillId="0" borderId="0" xfId="0" applyNumberFormat="1" applyFont="1" applyBorder="1" applyAlignment="1">
      <alignment horizontal="center"/>
    </xf>
    <xf numFmtId="2" fontId="9" fillId="0" borderId="0" xfId="0" applyNumberFormat="1" applyFont="1" applyBorder="1" applyAlignment="1">
      <alignment/>
    </xf>
    <xf numFmtId="2" fontId="0" fillId="0" borderId="0" xfId="0" applyNumberFormat="1" applyFont="1" applyAlignment="1">
      <alignment/>
    </xf>
    <xf numFmtId="49" fontId="15" fillId="0" borderId="0" xfId="0" applyNumberFormat="1" applyFont="1" applyBorder="1" applyAlignment="1">
      <alignment/>
    </xf>
    <xf numFmtId="49" fontId="11" fillId="0" borderId="0" xfId="0" applyNumberFormat="1" applyFont="1" applyBorder="1" applyAlignment="1">
      <alignment/>
    </xf>
    <xf numFmtId="2" fontId="11" fillId="0" borderId="0" xfId="0" applyNumberFormat="1" applyFont="1" applyBorder="1" applyAlignment="1">
      <alignment/>
    </xf>
    <xf numFmtId="2" fontId="15" fillId="0" borderId="0" xfId="0" applyNumberFormat="1" applyFont="1" applyBorder="1" applyAlignment="1">
      <alignment wrapText="1"/>
    </xf>
    <xf numFmtId="2" fontId="0" fillId="0" borderId="0" xfId="0" applyNumberFormat="1" applyFont="1" applyBorder="1" applyAlignment="1">
      <alignment/>
    </xf>
    <xf numFmtId="2" fontId="13" fillId="0" borderId="10" xfId="0" applyNumberFormat="1" applyFont="1" applyBorder="1" applyAlignment="1">
      <alignment horizontal="left" vertical="center" wrapText="1"/>
    </xf>
    <xf numFmtId="2" fontId="13" fillId="0" borderId="0" xfId="0" applyNumberFormat="1" applyFont="1" applyBorder="1" applyAlignment="1">
      <alignment horizontal="left" vertical="center" wrapText="1"/>
    </xf>
    <xf numFmtId="49" fontId="34" fillId="0" borderId="10" xfId="0" applyNumberFormat="1" applyFont="1" applyBorder="1" applyAlignment="1">
      <alignment horizontal="center"/>
    </xf>
    <xf numFmtId="49" fontId="15" fillId="0" borderId="0" xfId="0" applyNumberFormat="1" applyFont="1" applyAlignment="1">
      <alignment/>
    </xf>
    <xf numFmtId="49" fontId="0" fillId="0" borderId="0" xfId="0" applyNumberFormat="1" applyFont="1" applyAlignment="1">
      <alignment/>
    </xf>
    <xf numFmtId="49" fontId="0" fillId="0" borderId="1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49" fontId="0" fillId="0" borderId="0" xfId="0" applyNumberFormat="1" applyFont="1" applyAlignment="1">
      <alignment/>
    </xf>
    <xf numFmtId="2" fontId="0" fillId="0" borderId="10" xfId="0" applyNumberFormat="1" applyFont="1" applyBorder="1" applyAlignment="1">
      <alignment horizontal="left" vertical="center" wrapText="1"/>
    </xf>
    <xf numFmtId="2" fontId="2" fillId="0" borderId="14" xfId="0" applyNumberFormat="1" applyFont="1" applyBorder="1" applyAlignment="1">
      <alignment/>
    </xf>
    <xf numFmtId="2" fontId="2" fillId="0" borderId="0" xfId="0" applyNumberFormat="1" applyFont="1" applyBorder="1" applyAlignment="1">
      <alignment/>
    </xf>
    <xf numFmtId="2" fontId="5" fillId="0" borderId="0" xfId="0" applyNumberFormat="1" applyFont="1" applyBorder="1" applyAlignment="1">
      <alignment/>
    </xf>
    <xf numFmtId="2" fontId="5" fillId="0" borderId="0" xfId="0" applyNumberFormat="1" applyFont="1" applyAlignment="1">
      <alignment/>
    </xf>
    <xf numFmtId="49" fontId="13" fillId="0" borderId="10" xfId="0" applyNumberFormat="1" applyFont="1" applyBorder="1" applyAlignment="1">
      <alignment horizontal="center" vertical="center"/>
    </xf>
    <xf numFmtId="49" fontId="0" fillId="0" borderId="0" xfId="0" applyNumberFormat="1" applyFont="1" applyAlignment="1">
      <alignment vertical="center"/>
    </xf>
    <xf numFmtId="2" fontId="2" fillId="24" borderId="0" xfId="0" applyNumberFormat="1" applyFont="1" applyFill="1" applyAlignment="1">
      <alignment/>
    </xf>
    <xf numFmtId="2" fontId="0" fillId="24" borderId="0" xfId="0" applyNumberFormat="1" applyFont="1" applyFill="1" applyAlignment="1">
      <alignment/>
    </xf>
    <xf numFmtId="2" fontId="2" fillId="24" borderId="0" xfId="0" applyNumberFormat="1" applyFont="1" applyFill="1" applyBorder="1" applyAlignment="1">
      <alignment/>
    </xf>
    <xf numFmtId="49" fontId="2" fillId="24" borderId="0" xfId="0" applyNumberFormat="1" applyFont="1" applyFill="1" applyAlignment="1">
      <alignment/>
    </xf>
    <xf numFmtId="2" fontId="10" fillId="24" borderId="0" xfId="0" applyNumberFormat="1" applyFont="1" applyFill="1" applyBorder="1" applyAlignment="1">
      <alignment wrapText="1"/>
    </xf>
    <xf numFmtId="2" fontId="11" fillId="24" borderId="0" xfId="0" applyNumberFormat="1" applyFont="1" applyFill="1" applyBorder="1" applyAlignment="1">
      <alignment/>
    </xf>
    <xf numFmtId="2" fontId="2" fillId="24" borderId="0" xfId="0" applyNumberFormat="1" applyFont="1" applyFill="1" applyBorder="1" applyAlignment="1">
      <alignment horizontal="center"/>
    </xf>
    <xf numFmtId="2" fontId="4" fillId="24" borderId="0" xfId="0" applyNumberFormat="1" applyFont="1" applyFill="1" applyAlignment="1">
      <alignment horizontal="center"/>
    </xf>
    <xf numFmtId="49" fontId="33" fillId="24" borderId="10" xfId="0" applyNumberFormat="1" applyFont="1" applyFill="1" applyBorder="1" applyAlignment="1">
      <alignment horizontal="center" vertical="center"/>
    </xf>
    <xf numFmtId="2" fontId="13" fillId="24" borderId="10" xfId="0" applyNumberFormat="1" applyFont="1" applyFill="1" applyBorder="1" applyAlignment="1">
      <alignment horizontal="left" vertical="center" wrapText="1"/>
    </xf>
    <xf numFmtId="49" fontId="15" fillId="24" borderId="0" xfId="0" applyNumberFormat="1" applyFont="1" applyFill="1" applyBorder="1" applyAlignment="1">
      <alignment/>
    </xf>
    <xf numFmtId="2" fontId="0" fillId="24" borderId="0" xfId="0" applyNumberFormat="1" applyFont="1" applyFill="1" applyAlignment="1">
      <alignment/>
    </xf>
    <xf numFmtId="2" fontId="1" fillId="24" borderId="0" xfId="0" applyNumberFormat="1" applyFont="1" applyFill="1" applyBorder="1" applyAlignment="1">
      <alignment/>
    </xf>
    <xf numFmtId="49" fontId="7" fillId="24" borderId="0" xfId="0" applyNumberFormat="1" applyFont="1" applyFill="1" applyBorder="1" applyAlignment="1">
      <alignment horizontal="center"/>
    </xf>
    <xf numFmtId="2" fontId="7" fillId="24" borderId="0" xfId="0" applyNumberFormat="1" applyFont="1" applyFill="1" applyBorder="1" applyAlignment="1">
      <alignment horizontal="center"/>
    </xf>
    <xf numFmtId="49" fontId="2" fillId="24" borderId="0" xfId="0" applyNumberFormat="1" applyFont="1" applyFill="1" applyBorder="1" applyAlignment="1">
      <alignment/>
    </xf>
    <xf numFmtId="2" fontId="3" fillId="24" borderId="0" xfId="0" applyNumberFormat="1" applyFont="1" applyFill="1" applyBorder="1" applyAlignment="1">
      <alignment horizontal="center"/>
    </xf>
    <xf numFmtId="2" fontId="9" fillId="24" borderId="0" xfId="0" applyNumberFormat="1" applyFont="1" applyFill="1" applyBorder="1" applyAlignment="1">
      <alignment/>
    </xf>
    <xf numFmtId="2" fontId="0" fillId="24" borderId="0" xfId="0" applyNumberFormat="1" applyFont="1" applyFill="1" applyBorder="1" applyAlignment="1">
      <alignment/>
    </xf>
    <xf numFmtId="49" fontId="34" fillId="24" borderId="10" xfId="0" applyNumberFormat="1" applyFont="1" applyFill="1" applyBorder="1" applyAlignment="1">
      <alignment horizontal="center"/>
    </xf>
    <xf numFmtId="49" fontId="13" fillId="24" borderId="10" xfId="0" applyNumberFormat="1" applyFont="1" applyFill="1" applyBorder="1" applyAlignment="1">
      <alignment horizontal="center"/>
    </xf>
    <xf numFmtId="49" fontId="11" fillId="24" borderId="0" xfId="0" applyNumberFormat="1" applyFont="1" applyFill="1" applyAlignment="1">
      <alignment/>
    </xf>
    <xf numFmtId="49" fontId="15" fillId="24" borderId="0" xfId="0" applyNumberFormat="1" applyFont="1" applyFill="1" applyAlignment="1">
      <alignment/>
    </xf>
    <xf numFmtId="49" fontId="0" fillId="24" borderId="10" xfId="0" applyNumberFormat="1" applyFont="1" applyFill="1" applyBorder="1" applyAlignment="1">
      <alignment horizontal="center"/>
    </xf>
    <xf numFmtId="49" fontId="22" fillId="24" borderId="0" xfId="0" applyNumberFormat="1" applyFont="1" applyFill="1" applyBorder="1" applyAlignment="1">
      <alignment/>
    </xf>
    <xf numFmtId="49" fontId="0" fillId="24" borderId="0" xfId="0" applyNumberFormat="1" applyFont="1" applyFill="1" applyAlignment="1">
      <alignment/>
    </xf>
    <xf numFmtId="49" fontId="0" fillId="24" borderId="10" xfId="0" applyNumberFormat="1" applyFont="1" applyFill="1" applyBorder="1" applyAlignment="1">
      <alignment/>
    </xf>
    <xf numFmtId="49" fontId="0" fillId="24" borderId="0" xfId="0" applyNumberFormat="1" applyFont="1" applyFill="1" applyBorder="1" applyAlignment="1">
      <alignment/>
    </xf>
    <xf numFmtId="49" fontId="0" fillId="24" borderId="0" xfId="0" applyNumberFormat="1" applyFont="1" applyFill="1" applyBorder="1" applyAlignment="1">
      <alignment horizontal="center"/>
    </xf>
    <xf numFmtId="0" fontId="0" fillId="24" borderId="0" xfId="0" applyFont="1" applyFill="1" applyAlignment="1">
      <alignment/>
    </xf>
    <xf numFmtId="49" fontId="0" fillId="24" borderId="0" xfId="0" applyNumberFormat="1" applyFont="1" applyFill="1" applyAlignment="1">
      <alignment/>
    </xf>
    <xf numFmtId="49" fontId="15" fillId="24" borderId="0" xfId="0" applyNumberFormat="1" applyFont="1" applyFill="1" applyAlignment="1">
      <alignment/>
    </xf>
    <xf numFmtId="49" fontId="11" fillId="24" borderId="0" xfId="0" applyNumberFormat="1" applyFont="1" applyFill="1" applyAlignment="1">
      <alignment/>
    </xf>
    <xf numFmtId="2" fontId="7" fillId="24" borderId="0" xfId="0" applyNumberFormat="1" applyFont="1" applyFill="1" applyAlignment="1">
      <alignment horizontal="center"/>
    </xf>
    <xf numFmtId="2" fontId="5" fillId="24" borderId="0" xfId="0" applyNumberFormat="1" applyFont="1" applyFill="1" applyBorder="1" applyAlignment="1">
      <alignment/>
    </xf>
    <xf numFmtId="2" fontId="15" fillId="24" borderId="0" xfId="0" applyNumberFormat="1" applyFont="1" applyFill="1" applyBorder="1" applyAlignment="1">
      <alignment horizontal="center"/>
    </xf>
    <xf numFmtId="49" fontId="10" fillId="24" borderId="0" xfId="0" applyNumberFormat="1" applyFont="1" applyFill="1" applyBorder="1" applyAlignment="1">
      <alignment/>
    </xf>
    <xf numFmtId="0" fontId="2" fillId="24" borderId="0" xfId="0" applyFont="1" applyFill="1" applyBorder="1" applyAlignment="1">
      <alignment/>
    </xf>
    <xf numFmtId="0" fontId="2" fillId="24" borderId="0" xfId="0" applyFont="1" applyFill="1" applyAlignment="1">
      <alignment/>
    </xf>
    <xf numFmtId="2" fontId="6" fillId="24" borderId="0" xfId="0" applyNumberFormat="1" applyFont="1" applyFill="1" applyBorder="1" applyAlignment="1">
      <alignment/>
    </xf>
    <xf numFmtId="0" fontId="5" fillId="24" borderId="0" xfId="0" applyFont="1" applyFill="1" applyAlignment="1">
      <alignment/>
    </xf>
    <xf numFmtId="2" fontId="30" fillId="24" borderId="0" xfId="0" applyNumberFormat="1" applyFont="1" applyFill="1" applyBorder="1" applyAlignment="1">
      <alignment/>
    </xf>
    <xf numFmtId="2" fontId="5"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ont="1" applyFill="1" applyBorder="1" applyAlignment="1">
      <alignment/>
    </xf>
    <xf numFmtId="0" fontId="16" fillId="24" borderId="10" xfId="0" applyFont="1" applyFill="1" applyBorder="1" applyAlignment="1">
      <alignment horizontal="center" vertical="center" wrapText="1"/>
    </xf>
    <xf numFmtId="0" fontId="4" fillId="24" borderId="0" xfId="0" applyFont="1" applyFill="1" applyBorder="1" applyAlignment="1">
      <alignment/>
    </xf>
    <xf numFmtId="0" fontId="4" fillId="24" borderId="0" xfId="0" applyFont="1" applyFill="1" applyAlignment="1">
      <alignment/>
    </xf>
    <xf numFmtId="49" fontId="13" fillId="24" borderId="10" xfId="0" applyNumberFormat="1" applyFont="1" applyFill="1" applyBorder="1" applyAlignment="1" applyProtection="1">
      <alignment horizontal="center" vertical="center"/>
      <protection/>
    </xf>
    <xf numFmtId="49" fontId="8" fillId="24" borderId="0" xfId="0" applyNumberFormat="1" applyFont="1" applyFill="1" applyBorder="1" applyAlignment="1">
      <alignment/>
    </xf>
    <xf numFmtId="49" fontId="0" fillId="24" borderId="0" xfId="0" applyNumberFormat="1" applyFont="1" applyFill="1" applyBorder="1" applyAlignment="1">
      <alignment wrapText="1"/>
    </xf>
    <xf numFmtId="49" fontId="0" fillId="24" borderId="10" xfId="0" applyNumberFormat="1" applyFont="1" applyFill="1" applyBorder="1" applyAlignment="1">
      <alignment/>
    </xf>
    <xf numFmtId="49" fontId="11" fillId="24" borderId="0" xfId="0" applyNumberFormat="1" applyFont="1" applyFill="1" applyAlignment="1">
      <alignment wrapText="1"/>
    </xf>
    <xf numFmtId="49" fontId="19" fillId="0" borderId="0" xfId="0" applyNumberFormat="1" applyFont="1" applyFill="1" applyBorder="1" applyAlignment="1">
      <alignment vertical="justify" textRotation="90" wrapText="1"/>
    </xf>
    <xf numFmtId="49" fontId="19" fillId="0" borderId="0" xfId="0" applyNumberFormat="1" applyFont="1" applyBorder="1" applyAlignment="1">
      <alignment vertical="justify" textRotation="90" wrapText="1"/>
    </xf>
    <xf numFmtId="49" fontId="13" fillId="0" borderId="0" xfId="0" applyNumberFormat="1" applyFont="1" applyAlignment="1">
      <alignment/>
    </xf>
    <xf numFmtId="49" fontId="32" fillId="0" borderId="0" xfId="0" applyNumberFormat="1" applyFont="1" applyAlignment="1">
      <alignment/>
    </xf>
    <xf numFmtId="49" fontId="32" fillId="0" borderId="0" xfId="0" applyNumberFormat="1" applyFont="1" applyAlignment="1">
      <alignment horizontal="left"/>
    </xf>
    <xf numFmtId="49" fontId="13" fillId="0" borderId="0" xfId="0" applyNumberFormat="1" applyFont="1" applyBorder="1" applyAlignment="1">
      <alignment/>
    </xf>
    <xf numFmtId="2" fontId="0" fillId="0" borderId="0" xfId="0" applyNumberFormat="1" applyFont="1" applyAlignment="1">
      <alignment horizontal="left"/>
    </xf>
    <xf numFmtId="49" fontId="0" fillId="24" borderId="0" xfId="0" applyNumberFormat="1" applyFont="1" applyFill="1" applyAlignment="1">
      <alignment vertical="center"/>
    </xf>
    <xf numFmtId="49" fontId="34" fillId="24" borderId="10" xfId="0" applyNumberFormat="1" applyFont="1" applyFill="1" applyBorder="1" applyAlignment="1">
      <alignment horizontal="center" vertical="center"/>
    </xf>
    <xf numFmtId="49" fontId="19" fillId="0" borderId="0" xfId="0" applyNumberFormat="1" applyFont="1" applyBorder="1" applyAlignment="1">
      <alignment vertical="center" textRotation="90" wrapText="1"/>
    </xf>
    <xf numFmtId="49" fontId="0" fillId="0" borderId="0" xfId="0" applyNumberFormat="1" applyFont="1" applyFill="1" applyAlignment="1">
      <alignment/>
    </xf>
    <xf numFmtId="49" fontId="0" fillId="0" borderId="0" xfId="0" applyNumberFormat="1" applyFont="1" applyFill="1" applyBorder="1" applyAlignment="1">
      <alignment horizontal="left"/>
    </xf>
    <xf numFmtId="49" fontId="0" fillId="0" borderId="0" xfId="0" applyNumberFormat="1" applyFont="1" applyFill="1" applyBorder="1" applyAlignment="1">
      <alignment/>
    </xf>
    <xf numFmtId="49" fontId="0" fillId="0" borderId="0" xfId="0" applyNumberFormat="1" applyFont="1" applyBorder="1" applyAlignment="1">
      <alignment horizontal="left"/>
    </xf>
    <xf numFmtId="49" fontId="11" fillId="0" borderId="0" xfId="0" applyNumberFormat="1" applyFont="1" applyBorder="1" applyAlignment="1">
      <alignment wrapText="1"/>
    </xf>
    <xf numFmtId="49" fontId="0" fillId="0" borderId="0" xfId="0" applyNumberFormat="1" applyFont="1" applyBorder="1" applyAlignment="1">
      <alignment/>
    </xf>
    <xf numFmtId="49" fontId="15" fillId="0" borderId="0" xfId="0" applyNumberFormat="1" applyFont="1" applyAlignment="1">
      <alignment horizontal="left"/>
    </xf>
    <xf numFmtId="49" fontId="14" fillId="0" borderId="0" xfId="0" applyNumberFormat="1" applyFont="1" applyAlignment="1">
      <alignment/>
    </xf>
    <xf numFmtId="0" fontId="54" fillId="0" borderId="0" xfId="0" applyFont="1" applyAlignment="1">
      <alignment/>
    </xf>
    <xf numFmtId="2" fontId="54" fillId="0" borderId="0" xfId="0" applyNumberFormat="1" applyFont="1" applyAlignment="1">
      <alignment horizontal="left"/>
    </xf>
    <xf numFmtId="0" fontId="54" fillId="0" borderId="0" xfId="0" applyFont="1" applyFill="1" applyAlignment="1">
      <alignment/>
    </xf>
    <xf numFmtId="0" fontId="57" fillId="0" borderId="0" xfId="0" applyFont="1" applyAlignment="1">
      <alignment/>
    </xf>
    <xf numFmtId="49" fontId="54" fillId="0" borderId="0" xfId="0" applyNumberFormat="1" applyFont="1" applyAlignment="1">
      <alignment/>
    </xf>
    <xf numFmtId="49" fontId="57" fillId="0" borderId="0" xfId="0" applyNumberFormat="1" applyFont="1" applyAlignment="1">
      <alignment/>
    </xf>
    <xf numFmtId="49" fontId="55" fillId="0" borderId="0" xfId="0" applyNumberFormat="1" applyFont="1" applyBorder="1" applyAlignment="1">
      <alignment wrapText="1"/>
    </xf>
    <xf numFmtId="49" fontId="54" fillId="0" borderId="0" xfId="0" applyNumberFormat="1" applyFont="1" applyBorder="1" applyAlignment="1">
      <alignment/>
    </xf>
    <xf numFmtId="49" fontId="56" fillId="0" borderId="0" xfId="0" applyNumberFormat="1" applyFont="1" applyAlignment="1">
      <alignment/>
    </xf>
    <xf numFmtId="0" fontId="56" fillId="0" borderId="0" xfId="0" applyFont="1" applyAlignment="1">
      <alignment/>
    </xf>
    <xf numFmtId="0" fontId="11" fillId="24" borderId="11" xfId="0" applyNumberFormat="1" applyFont="1" applyFill="1" applyBorder="1" applyAlignment="1">
      <alignment horizontal="center" vertical="center" wrapText="1"/>
    </xf>
    <xf numFmtId="2" fontId="0" fillId="24" borderId="0" xfId="0" applyNumberFormat="1" applyFont="1" applyFill="1" applyAlignment="1">
      <alignment horizontal="left"/>
    </xf>
    <xf numFmtId="2" fontId="13" fillId="0" borderId="0" xfId="0" applyNumberFormat="1" applyFont="1" applyBorder="1" applyAlignment="1">
      <alignment/>
    </xf>
    <xf numFmtId="2" fontId="10" fillId="24" borderId="0" xfId="0" applyNumberFormat="1" applyFont="1" applyFill="1" applyBorder="1" applyAlignment="1">
      <alignment/>
    </xf>
    <xf numFmtId="2" fontId="10" fillId="24" borderId="0" xfId="0" applyNumberFormat="1" applyFont="1" applyFill="1" applyAlignment="1">
      <alignment/>
    </xf>
    <xf numFmtId="2" fontId="0" fillId="24" borderId="0" xfId="0" applyNumberFormat="1" applyFont="1" applyFill="1" applyBorder="1" applyAlignment="1">
      <alignment horizontal="center"/>
    </xf>
    <xf numFmtId="2" fontId="16" fillId="24" borderId="0" xfId="0" applyNumberFormat="1" applyFont="1" applyFill="1" applyBorder="1" applyAlignment="1">
      <alignment horizontal="center"/>
    </xf>
    <xf numFmtId="49" fontId="13" fillId="24" borderId="0" xfId="0" applyNumberFormat="1" applyFont="1" applyFill="1" applyBorder="1" applyAlignment="1">
      <alignment/>
    </xf>
    <xf numFmtId="49" fontId="10" fillId="24" borderId="0" xfId="0" applyNumberFormat="1" applyFont="1" applyFill="1" applyAlignment="1">
      <alignment/>
    </xf>
    <xf numFmtId="2" fontId="33" fillId="24" borderId="0" xfId="0" applyNumberFormat="1" applyFont="1" applyFill="1" applyBorder="1" applyAlignment="1">
      <alignment horizontal="center"/>
    </xf>
    <xf numFmtId="2" fontId="13" fillId="24" borderId="0" xfId="0" applyNumberFormat="1" applyFont="1" applyFill="1" applyBorder="1" applyAlignment="1">
      <alignment/>
    </xf>
    <xf numFmtId="0" fontId="16" fillId="24" borderId="15" xfId="0" applyFont="1" applyFill="1" applyBorder="1" applyAlignment="1">
      <alignment horizontal="center" vertical="center" wrapText="1"/>
    </xf>
    <xf numFmtId="49" fontId="33" fillId="0" borderId="0" xfId="0" applyNumberFormat="1" applyFont="1" applyBorder="1" applyAlignment="1">
      <alignment vertical="center"/>
    </xf>
    <xf numFmtId="49" fontId="33" fillId="0" borderId="0" xfId="0" applyNumberFormat="1" applyFont="1" applyAlignment="1">
      <alignment vertical="center"/>
    </xf>
    <xf numFmtId="0" fontId="10" fillId="0" borderId="0" xfId="0" applyFont="1" applyAlignment="1">
      <alignment/>
    </xf>
    <xf numFmtId="0" fontId="11" fillId="0" borderId="10" xfId="0" applyNumberFormat="1" applyFont="1" applyFill="1" applyBorder="1" applyAlignment="1">
      <alignment horizontal="center" vertical="center" wrapText="1"/>
    </xf>
    <xf numFmtId="1" fontId="13" fillId="0" borderId="10" xfId="0" applyNumberFormat="1" applyFont="1" applyBorder="1" applyAlignment="1">
      <alignment horizontal="left" vertical="center"/>
    </xf>
    <xf numFmtId="49" fontId="19" fillId="20" borderId="13" xfId="0" applyNumberFormat="1" applyFont="1" applyFill="1" applyBorder="1" applyAlignment="1">
      <alignment horizontal="center" vertical="center"/>
    </xf>
    <xf numFmtId="2" fontId="14" fillId="20" borderId="13" xfId="0" applyNumberFormat="1" applyFont="1" applyFill="1" applyBorder="1" applyAlignment="1">
      <alignment horizontal="left" vertical="center"/>
    </xf>
    <xf numFmtId="49" fontId="19" fillId="20" borderId="10" xfId="0" applyNumberFormat="1" applyFont="1" applyFill="1" applyBorder="1" applyAlignment="1">
      <alignment horizontal="center" vertical="center"/>
    </xf>
    <xf numFmtId="1" fontId="14" fillId="20" borderId="10" xfId="0" applyNumberFormat="1" applyFont="1" applyFill="1" applyBorder="1" applyAlignment="1">
      <alignment horizontal="left" vertical="center"/>
    </xf>
    <xf numFmtId="1" fontId="14" fillId="20" borderId="16" xfId="0" applyNumberFormat="1" applyFont="1" applyFill="1" applyBorder="1" applyAlignment="1">
      <alignment horizontal="left" vertical="center"/>
    </xf>
    <xf numFmtId="49" fontId="19" fillId="25" borderId="10" xfId="0" applyNumberFormat="1" applyFont="1" applyFill="1" applyBorder="1" applyAlignment="1">
      <alignment horizontal="center" vertical="center"/>
    </xf>
    <xf numFmtId="1" fontId="14" fillId="25" borderId="10" xfId="0" applyNumberFormat="1" applyFont="1" applyFill="1" applyBorder="1" applyAlignment="1">
      <alignment horizontal="left" vertical="center"/>
    </xf>
    <xf numFmtId="49" fontId="10" fillId="20" borderId="10" xfId="0" applyNumberFormat="1" applyFont="1" applyFill="1" applyBorder="1" applyAlignment="1">
      <alignment horizontal="center"/>
    </xf>
    <xf numFmtId="49" fontId="10" fillId="20" borderId="10" xfId="0" applyNumberFormat="1" applyFont="1" applyFill="1" applyBorder="1" applyAlignment="1">
      <alignment/>
    </xf>
    <xf numFmtId="41" fontId="10" fillId="20" borderId="13" xfId="0" applyNumberFormat="1" applyFont="1" applyFill="1" applyBorder="1" applyAlignment="1">
      <alignment horizontal="center" vertical="center"/>
    </xf>
    <xf numFmtId="41" fontId="10" fillId="0" borderId="10" xfId="0" applyNumberFormat="1" applyFont="1" applyBorder="1" applyAlignment="1">
      <alignment horizontal="center" vertical="center"/>
    </xf>
    <xf numFmtId="41" fontId="10" fillId="20" borderId="10" xfId="0" applyNumberFormat="1" applyFont="1" applyFill="1" applyBorder="1" applyAlignment="1">
      <alignment horizontal="center" vertical="center"/>
    </xf>
    <xf numFmtId="41" fontId="10" fillId="20" borderId="11" xfId="0" applyNumberFormat="1" applyFont="1" applyFill="1" applyBorder="1" applyAlignment="1">
      <alignment horizontal="center" vertical="center"/>
    </xf>
    <xf numFmtId="41" fontId="10" fillId="20" borderId="11" xfId="0" applyNumberFormat="1" applyFont="1" applyFill="1" applyBorder="1" applyAlignment="1">
      <alignment horizontal="center" vertical="center" wrapText="1"/>
    </xf>
    <xf numFmtId="41" fontId="0" fillId="0" borderId="11" xfId="0" applyNumberFormat="1" applyFont="1" applyBorder="1" applyAlignment="1">
      <alignment horizontal="center" vertical="center"/>
    </xf>
    <xf numFmtId="41" fontId="0" fillId="0" borderId="11" xfId="0" applyNumberFormat="1" applyFont="1" applyBorder="1" applyAlignment="1">
      <alignment vertical="center"/>
    </xf>
    <xf numFmtId="41" fontId="0" fillId="0" borderId="10" xfId="0" applyNumberFormat="1" applyFont="1" applyBorder="1" applyAlignment="1">
      <alignment vertical="center"/>
    </xf>
    <xf numFmtId="41" fontId="0" fillId="0" borderId="10" xfId="0" applyNumberFormat="1" applyFont="1" applyBorder="1" applyAlignment="1">
      <alignment horizontal="center" vertical="center"/>
    </xf>
    <xf numFmtId="41" fontId="0" fillId="25" borderId="10" xfId="0" applyNumberFormat="1" applyFont="1" applyFill="1" applyBorder="1" applyAlignment="1">
      <alignment horizontal="center" vertical="center"/>
    </xf>
    <xf numFmtId="41" fontId="0" fillId="25" borderId="10" xfId="0" applyNumberFormat="1" applyFont="1" applyFill="1" applyBorder="1" applyAlignment="1">
      <alignment vertical="center"/>
    </xf>
    <xf numFmtId="41" fontId="0" fillId="0" borderId="13" xfId="0" applyNumberFormat="1" applyFont="1" applyBorder="1" applyAlignment="1">
      <alignment horizontal="center" vertical="center"/>
    </xf>
    <xf numFmtId="41" fontId="0" fillId="20" borderId="10" xfId="0" applyNumberFormat="1" applyFont="1" applyFill="1" applyBorder="1" applyAlignment="1">
      <alignment horizontal="center" vertical="center"/>
    </xf>
    <xf numFmtId="41" fontId="0" fillId="0" borderId="10" xfId="0" applyNumberFormat="1" applyFont="1" applyBorder="1" applyAlignment="1">
      <alignment horizontal="center"/>
    </xf>
    <xf numFmtId="49" fontId="19" fillId="20" borderId="13" xfId="0" applyNumberFormat="1" applyFont="1" applyFill="1" applyBorder="1" applyAlignment="1">
      <alignment horizontal="center" vertical="center"/>
    </xf>
    <xf numFmtId="49" fontId="19" fillId="20" borderId="10" xfId="0" applyNumberFormat="1" applyFont="1" applyFill="1" applyBorder="1" applyAlignment="1">
      <alignment horizontal="center" vertical="center"/>
    </xf>
    <xf numFmtId="49" fontId="19" fillId="25" borderId="10" xfId="0" applyNumberFormat="1" applyFont="1" applyFill="1" applyBorder="1" applyAlignment="1">
      <alignment horizontal="center" vertical="center"/>
    </xf>
    <xf numFmtId="2" fontId="14" fillId="20" borderId="13" xfId="0" applyNumberFormat="1" applyFont="1" applyFill="1" applyBorder="1" applyAlignment="1">
      <alignment horizontal="left" vertical="center"/>
    </xf>
    <xf numFmtId="1" fontId="13" fillId="24" borderId="10" xfId="0" applyNumberFormat="1" applyFont="1" applyFill="1" applyBorder="1" applyAlignment="1">
      <alignment horizontal="left" vertical="center"/>
    </xf>
    <xf numFmtId="1" fontId="14" fillId="25" borderId="10" xfId="0" applyNumberFormat="1" applyFont="1" applyFill="1" applyBorder="1" applyAlignment="1">
      <alignment horizontal="left" vertical="center"/>
    </xf>
    <xf numFmtId="1" fontId="14" fillId="20" borderId="10" xfId="0" applyNumberFormat="1" applyFont="1" applyFill="1" applyBorder="1" applyAlignment="1">
      <alignment horizontal="left" vertical="center"/>
    </xf>
    <xf numFmtId="1" fontId="14" fillId="20" borderId="16" xfId="0" applyNumberFormat="1" applyFont="1" applyFill="1" applyBorder="1" applyAlignment="1">
      <alignment horizontal="left" vertical="center"/>
    </xf>
    <xf numFmtId="49" fontId="62" fillId="24" borderId="10" xfId="0" applyNumberFormat="1" applyFont="1" applyFill="1" applyBorder="1" applyAlignment="1" applyProtection="1">
      <alignment horizontal="center" vertical="center"/>
      <protection/>
    </xf>
    <xf numFmtId="49" fontId="14" fillId="20" borderId="10" xfId="0" applyNumberFormat="1" applyFont="1" applyFill="1" applyBorder="1" applyAlignment="1" applyProtection="1">
      <alignment horizontal="center" vertical="center"/>
      <protection/>
    </xf>
    <xf numFmtId="49" fontId="14" fillId="20" borderId="10" xfId="0" applyNumberFormat="1" applyFont="1" applyFill="1" applyBorder="1" applyAlignment="1" applyProtection="1">
      <alignment vertical="center"/>
      <protection/>
    </xf>
    <xf numFmtId="49" fontId="14" fillId="20" borderId="13" xfId="0" applyNumberFormat="1" applyFont="1" applyFill="1" applyBorder="1" applyAlignment="1" applyProtection="1">
      <alignment horizontal="center" vertical="center"/>
      <protection/>
    </xf>
    <xf numFmtId="49" fontId="14" fillId="20" borderId="13" xfId="0" applyNumberFormat="1" applyFont="1" applyFill="1" applyBorder="1" applyAlignment="1" applyProtection="1">
      <alignment vertical="center"/>
      <protection/>
    </xf>
    <xf numFmtId="0" fontId="13" fillId="24" borderId="10" xfId="0" applyNumberFormat="1" applyFont="1" applyFill="1" applyBorder="1" applyAlignment="1" applyProtection="1">
      <alignment horizontal="center" vertical="center"/>
      <protection/>
    </xf>
    <xf numFmtId="0" fontId="13" fillId="24" borderId="11" xfId="0" applyNumberFormat="1" applyFont="1" applyFill="1" applyBorder="1" applyAlignment="1" applyProtection="1">
      <alignment horizontal="center" vertical="center"/>
      <protection/>
    </xf>
    <xf numFmtId="0" fontId="63" fillId="24" borderId="17" xfId="0" applyNumberFormat="1" applyFont="1" applyFill="1" applyBorder="1" applyAlignment="1" applyProtection="1">
      <alignment horizontal="center" vertical="center"/>
      <protection/>
    </xf>
    <xf numFmtId="41" fontId="14" fillId="20" borderId="10" xfId="0" applyNumberFormat="1" applyFont="1" applyFill="1" applyBorder="1" applyAlignment="1" applyProtection="1">
      <alignment horizontal="center" vertical="center"/>
      <protection/>
    </xf>
    <xf numFmtId="41" fontId="0" fillId="0" borderId="0" xfId="0" applyNumberFormat="1" applyAlignment="1">
      <alignment/>
    </xf>
    <xf numFmtId="41" fontId="11" fillId="0" borderId="0" xfId="0" applyNumberFormat="1" applyFont="1" applyAlignment="1">
      <alignment/>
    </xf>
    <xf numFmtId="41" fontId="15" fillId="0" borderId="0" xfId="0" applyNumberFormat="1" applyFont="1" applyAlignment="1">
      <alignment/>
    </xf>
    <xf numFmtId="41" fontId="0" fillId="0" borderId="0" xfId="0" applyNumberFormat="1" applyFont="1" applyAlignment="1">
      <alignment/>
    </xf>
    <xf numFmtId="41" fontId="15" fillId="20" borderId="10" xfId="0" applyNumberFormat="1" applyFont="1" applyFill="1" applyBorder="1" applyAlignment="1">
      <alignment vertical="center"/>
    </xf>
    <xf numFmtId="41" fontId="15" fillId="20" borderId="11" xfId="0" applyNumberFormat="1" applyFont="1" applyFill="1" applyBorder="1" applyAlignment="1">
      <alignment vertical="center"/>
    </xf>
    <xf numFmtId="41" fontId="11" fillId="24" borderId="10" xfId="0" applyNumberFormat="1" applyFont="1" applyFill="1" applyBorder="1" applyAlignment="1">
      <alignment vertical="center"/>
    </xf>
    <xf numFmtId="41" fontId="11" fillId="25" borderId="10" xfId="0" applyNumberFormat="1" applyFont="1" applyFill="1" applyBorder="1" applyAlignment="1">
      <alignment vertical="center"/>
    </xf>
    <xf numFmtId="41" fontId="15" fillId="20" borderId="16" xfId="0" applyNumberFormat="1" applyFont="1" applyFill="1" applyBorder="1" applyAlignment="1">
      <alignment horizontal="left" vertical="center"/>
    </xf>
    <xf numFmtId="41" fontId="15" fillId="20" borderId="13" xfId="0" applyNumberFormat="1" applyFont="1" applyFill="1" applyBorder="1" applyAlignment="1">
      <alignment vertical="center"/>
    </xf>
    <xf numFmtId="41" fontId="11" fillId="20" borderId="10" xfId="0" applyNumberFormat="1" applyFont="1" applyFill="1" applyBorder="1" applyAlignment="1">
      <alignment vertical="center"/>
    </xf>
    <xf numFmtId="41" fontId="11" fillId="0" borderId="10" xfId="0" applyNumberFormat="1" applyFont="1" applyBorder="1" applyAlignment="1">
      <alignment horizontal="center"/>
    </xf>
    <xf numFmtId="41" fontId="15" fillId="20" borderId="10" xfId="0" applyNumberFormat="1" applyFont="1" applyFill="1" applyBorder="1" applyAlignment="1">
      <alignment horizontal="center"/>
    </xf>
    <xf numFmtId="41" fontId="11" fillId="20" borderId="10" xfId="0" applyNumberFormat="1" applyFont="1" applyFill="1" applyBorder="1" applyAlignment="1">
      <alignment horizontal="center"/>
    </xf>
    <xf numFmtId="49" fontId="10" fillId="20" borderId="10" xfId="0" applyNumberFormat="1" applyFont="1" applyFill="1" applyBorder="1" applyAlignment="1">
      <alignment horizontal="center"/>
    </xf>
    <xf numFmtId="49" fontId="10" fillId="20" borderId="10" xfId="0" applyNumberFormat="1" applyFont="1" applyFill="1" applyBorder="1" applyAlignment="1">
      <alignment/>
    </xf>
    <xf numFmtId="2" fontId="10" fillId="20" borderId="10" xfId="0" applyNumberFormat="1" applyFont="1" applyFill="1" applyBorder="1" applyAlignment="1">
      <alignment horizontal="left" vertical="center" wrapText="1"/>
    </xf>
    <xf numFmtId="41" fontId="0" fillId="24" borderId="0" xfId="0" applyNumberFormat="1" applyFont="1" applyFill="1" applyAlignment="1">
      <alignment/>
    </xf>
    <xf numFmtId="41" fontId="11" fillId="24" borderId="10" xfId="0" applyNumberFormat="1" applyFont="1" applyFill="1" applyBorder="1" applyAlignment="1">
      <alignment/>
    </xf>
    <xf numFmtId="41" fontId="11" fillId="24" borderId="0" xfId="0" applyNumberFormat="1" applyFont="1" applyFill="1" applyAlignment="1">
      <alignment/>
    </xf>
    <xf numFmtId="41" fontId="15" fillId="20" borderId="10" xfId="0" applyNumberFormat="1" applyFont="1" applyFill="1" applyBorder="1" applyAlignment="1">
      <alignment/>
    </xf>
    <xf numFmtId="41" fontId="15" fillId="24" borderId="0" xfId="0" applyNumberFormat="1" applyFont="1" applyFill="1" applyAlignment="1">
      <alignment/>
    </xf>
    <xf numFmtId="1" fontId="26" fillId="24" borderId="15" xfId="0" applyNumberFormat="1" applyFont="1" applyFill="1" applyBorder="1" applyAlignment="1">
      <alignment horizontal="center"/>
    </xf>
    <xf numFmtId="41" fontId="14" fillId="20" borderId="10" xfId="0" applyNumberFormat="1" applyFont="1" applyFill="1" applyBorder="1" applyAlignment="1">
      <alignment vertical="center"/>
    </xf>
    <xf numFmtId="41" fontId="14" fillId="20" borderId="11" xfId="0" applyNumberFormat="1" applyFont="1" applyFill="1" applyBorder="1" applyAlignment="1">
      <alignment vertical="center"/>
    </xf>
    <xf numFmtId="41" fontId="13" fillId="24" borderId="10" xfId="0" applyNumberFormat="1" applyFont="1" applyFill="1" applyBorder="1" applyAlignment="1">
      <alignment vertical="center"/>
    </xf>
    <xf numFmtId="2" fontId="64" fillId="24" borderId="11" xfId="0" applyNumberFormat="1" applyFont="1" applyFill="1" applyBorder="1" applyAlignment="1">
      <alignment horizontal="center" vertical="center" wrapText="1"/>
    </xf>
    <xf numFmtId="2" fontId="64" fillId="24" borderId="10" xfId="0" applyNumberFormat="1" applyFont="1" applyFill="1" applyBorder="1" applyAlignment="1">
      <alignment horizontal="center" vertical="center" wrapText="1"/>
    </xf>
    <xf numFmtId="2" fontId="64" fillId="0" borderId="11" xfId="0" applyNumberFormat="1" applyFont="1" applyBorder="1" applyAlignment="1">
      <alignment horizontal="center" vertical="center" wrapText="1"/>
    </xf>
    <xf numFmtId="2" fontId="64" fillId="0" borderId="10" xfId="0" applyNumberFormat="1" applyFont="1" applyBorder="1" applyAlignment="1">
      <alignment horizontal="center" vertical="center" wrapText="1"/>
    </xf>
    <xf numFmtId="49" fontId="0" fillId="20" borderId="10" xfId="0" applyNumberFormat="1" applyFont="1" applyFill="1" applyBorder="1" applyAlignment="1">
      <alignment horizontal="center"/>
    </xf>
    <xf numFmtId="49" fontId="35" fillId="20" borderId="10" xfId="0" applyNumberFormat="1" applyFont="1" applyFill="1" applyBorder="1" applyAlignment="1" applyProtection="1">
      <alignment vertical="center"/>
      <protection/>
    </xf>
    <xf numFmtId="49" fontId="35" fillId="20" borderId="13" xfId="0" applyNumberFormat="1" applyFont="1" applyFill="1" applyBorder="1" applyAlignment="1" applyProtection="1">
      <alignment vertical="center"/>
      <protection/>
    </xf>
    <xf numFmtId="41" fontId="13" fillId="0" borderId="10" xfId="57" applyNumberFormat="1" applyFont="1" applyBorder="1" applyAlignment="1" applyProtection="1">
      <alignment vertical="center"/>
      <protection hidden="1"/>
    </xf>
    <xf numFmtId="49" fontId="13" fillId="0" borderId="18" xfId="0" applyNumberFormat="1" applyFont="1" applyBorder="1" applyAlignment="1">
      <alignment horizontal="center" vertical="center"/>
    </xf>
    <xf numFmtId="41" fontId="13" fillId="0" borderId="18" xfId="57" applyNumberFormat="1" applyFont="1" applyBorder="1" applyAlignment="1" applyProtection="1">
      <alignment vertical="center"/>
      <protection hidden="1"/>
    </xf>
    <xf numFmtId="0" fontId="14" fillId="0" borderId="10" xfId="57" applyFont="1" applyBorder="1" applyAlignment="1">
      <alignment horizontal="center" vertical="center"/>
      <protection/>
    </xf>
    <xf numFmtId="0" fontId="14" fillId="24" borderId="10" xfId="57" applyFont="1" applyFill="1" applyBorder="1" applyAlignment="1">
      <alignment horizontal="left" vertical="center"/>
      <protection/>
    </xf>
    <xf numFmtId="0" fontId="13" fillId="0" borderId="10" xfId="57" applyFont="1" applyBorder="1" applyAlignment="1">
      <alignment horizontal="center" vertical="center"/>
      <protection/>
    </xf>
    <xf numFmtId="0" fontId="13" fillId="0" borderId="18" xfId="57" applyFont="1" applyBorder="1" applyAlignment="1">
      <alignment horizontal="center" vertical="center"/>
      <protection/>
    </xf>
    <xf numFmtId="41" fontId="14" fillId="20" borderId="19" xfId="57" applyNumberFormat="1" applyFont="1" applyFill="1" applyBorder="1" applyAlignment="1" applyProtection="1">
      <alignment horizontal="center" vertical="center" wrapText="1"/>
      <protection hidden="1"/>
    </xf>
    <xf numFmtId="41" fontId="14" fillId="20" borderId="10" xfId="57" applyNumberFormat="1" applyFont="1" applyFill="1" applyBorder="1" applyAlignment="1" applyProtection="1">
      <alignment horizontal="center" vertical="center"/>
      <protection hidden="1"/>
    </xf>
    <xf numFmtId="41" fontId="14" fillId="20" borderId="13" xfId="57" applyNumberFormat="1" applyFont="1" applyFill="1" applyBorder="1" applyAlignment="1" applyProtection="1">
      <alignment horizontal="center" vertical="center"/>
      <protection hidden="1"/>
    </xf>
    <xf numFmtId="49" fontId="61" fillId="0" borderId="19" xfId="0" applyNumberFormat="1" applyFont="1" applyBorder="1" applyAlignment="1">
      <alignment horizontal="center" vertical="center" wrapText="1"/>
    </xf>
    <xf numFmtId="49" fontId="61" fillId="0" borderId="13" xfId="0" applyNumberFormat="1" applyFont="1" applyBorder="1" applyAlignment="1">
      <alignment horizontal="center" vertical="center"/>
    </xf>
    <xf numFmtId="0" fontId="14" fillId="20" borderId="13" xfId="57" applyFont="1" applyFill="1" applyBorder="1" applyAlignment="1">
      <alignment horizontal="center" vertical="center"/>
      <protection/>
    </xf>
    <xf numFmtId="0" fontId="14" fillId="20" borderId="10" xfId="57" applyFont="1" applyFill="1" applyBorder="1" applyAlignment="1">
      <alignment horizontal="left" vertical="center"/>
      <protection/>
    </xf>
    <xf numFmtId="41" fontId="15" fillId="20" borderId="10" xfId="57" applyNumberFormat="1" applyFont="1" applyFill="1" applyBorder="1" applyAlignment="1" applyProtection="1">
      <alignment horizontal="center" vertical="center"/>
      <protection hidden="1"/>
    </xf>
    <xf numFmtId="0" fontId="20" fillId="0" borderId="10" xfId="0" applyFont="1" applyBorder="1" applyAlignment="1">
      <alignment horizontal="center"/>
    </xf>
    <xf numFmtId="2" fontId="0" fillId="0" borderId="0" xfId="0" applyNumberFormat="1" applyFont="1" applyAlignment="1">
      <alignment horizontal="left" vertical="center"/>
    </xf>
    <xf numFmtId="2" fontId="15" fillId="0" borderId="0" xfId="0" applyNumberFormat="1" applyFont="1" applyAlignment="1">
      <alignment horizontal="left" vertical="center"/>
    </xf>
    <xf numFmtId="2" fontId="0" fillId="0" borderId="0" xfId="0" applyNumberFormat="1" applyFont="1" applyAlignment="1">
      <alignment vertical="center"/>
    </xf>
    <xf numFmtId="2" fontId="10" fillId="0" borderId="0" xfId="0" applyNumberFormat="1" applyFont="1" applyAlignment="1">
      <alignment vertical="center"/>
    </xf>
    <xf numFmtId="2" fontId="10" fillId="0" borderId="0" xfId="0" applyNumberFormat="1" applyFont="1" applyBorder="1" applyAlignment="1">
      <alignment vertical="center"/>
    </xf>
    <xf numFmtId="2" fontId="10" fillId="0" borderId="0" xfId="0" applyNumberFormat="1" applyFont="1" applyBorder="1" applyAlignment="1">
      <alignment vertical="center" wrapText="1"/>
    </xf>
    <xf numFmtId="2" fontId="11" fillId="0" borderId="0" xfId="0" applyNumberFormat="1" applyFont="1" applyBorder="1" applyAlignment="1">
      <alignment vertical="center"/>
    </xf>
    <xf numFmtId="1" fontId="61" fillId="0" borderId="15" xfId="0" applyNumberFormat="1" applyFont="1" applyBorder="1" applyAlignment="1">
      <alignment horizontal="center" vertical="center"/>
    </xf>
    <xf numFmtId="49" fontId="15" fillId="0" borderId="0" xfId="0" applyNumberFormat="1" applyFont="1" applyBorder="1" applyAlignment="1">
      <alignment vertical="center"/>
    </xf>
    <xf numFmtId="2" fontId="15" fillId="0" borderId="0" xfId="0" applyNumberFormat="1" applyFont="1" applyBorder="1" applyAlignment="1">
      <alignment horizontal="center" vertical="center"/>
    </xf>
    <xf numFmtId="2" fontId="0" fillId="0" borderId="0" xfId="0" applyNumberFormat="1" applyFont="1" applyAlignment="1">
      <alignment horizontal="left" vertical="center"/>
    </xf>
    <xf numFmtId="2" fontId="0" fillId="0" borderId="0" xfId="0" applyNumberFormat="1" applyFont="1" applyAlignment="1">
      <alignment horizontal="left" vertical="center"/>
    </xf>
    <xf numFmtId="2" fontId="0" fillId="0" borderId="0" xfId="0" applyNumberFormat="1" applyFont="1" applyAlignment="1">
      <alignment horizontal="left" vertical="center"/>
    </xf>
    <xf numFmtId="2" fontId="0" fillId="0" borderId="0" xfId="0" applyNumberFormat="1" applyFont="1" applyAlignment="1">
      <alignment vertical="center"/>
    </xf>
    <xf numFmtId="2" fontId="0" fillId="0" borderId="0" xfId="0" applyNumberFormat="1" applyFont="1" applyAlignment="1">
      <alignment vertical="center"/>
    </xf>
    <xf numFmtId="49" fontId="0" fillId="0" borderId="0" xfId="0" applyNumberFormat="1" applyFont="1" applyAlignment="1">
      <alignment vertical="center"/>
    </xf>
    <xf numFmtId="2" fontId="0" fillId="24" borderId="0" xfId="0" applyNumberFormat="1" applyFont="1" applyFill="1" applyBorder="1" applyAlignment="1">
      <alignment horizontal="left" vertical="center"/>
    </xf>
    <xf numFmtId="2" fontId="0" fillId="24" borderId="0" xfId="0" applyNumberFormat="1" applyFont="1" applyFill="1" applyAlignment="1">
      <alignment vertical="center"/>
    </xf>
    <xf numFmtId="2" fontId="10" fillId="24" borderId="0" xfId="0" applyNumberFormat="1" applyFont="1" applyFill="1" applyAlignment="1">
      <alignment vertical="center"/>
    </xf>
    <xf numFmtId="1" fontId="14" fillId="24" borderId="0" xfId="0" applyNumberFormat="1" applyFont="1" applyFill="1" applyBorder="1" applyAlignment="1">
      <alignment horizontal="left" vertical="center"/>
    </xf>
    <xf numFmtId="2" fontId="10" fillId="24" borderId="0" xfId="0" applyNumberFormat="1" applyFont="1" applyFill="1" applyBorder="1" applyAlignment="1">
      <alignment vertical="center"/>
    </xf>
    <xf numFmtId="2" fontId="10" fillId="24" borderId="0" xfId="0" applyNumberFormat="1" applyFont="1" applyFill="1" applyBorder="1" applyAlignment="1">
      <alignment vertical="center" wrapText="1"/>
    </xf>
    <xf numFmtId="1" fontId="20" fillId="24" borderId="15" xfId="0" applyNumberFormat="1" applyFont="1" applyFill="1" applyBorder="1" applyAlignment="1">
      <alignment horizontal="center" vertical="center"/>
    </xf>
    <xf numFmtId="2" fontId="0" fillId="24" borderId="0" xfId="0" applyNumberFormat="1" applyFill="1" applyAlignment="1">
      <alignment vertical="center"/>
    </xf>
    <xf numFmtId="0" fontId="0" fillId="24" borderId="0" xfId="0" applyFont="1" applyFill="1" applyBorder="1" applyAlignment="1">
      <alignment horizontal="left" vertical="center"/>
    </xf>
    <xf numFmtId="0" fontId="21" fillId="24" borderId="0" xfId="0" applyNumberFormat="1" applyFont="1" applyFill="1" applyAlignment="1">
      <alignment vertical="center"/>
    </xf>
    <xf numFmtId="0" fontId="10" fillId="24" borderId="0" xfId="0" applyFont="1" applyFill="1" applyAlignment="1">
      <alignment vertical="center"/>
    </xf>
    <xf numFmtId="0" fontId="0" fillId="24" borderId="0" xfId="0" applyFont="1" applyFill="1" applyBorder="1" applyAlignment="1">
      <alignment vertical="center"/>
    </xf>
    <xf numFmtId="0" fontId="16" fillId="24" borderId="0" xfId="0" applyFont="1" applyFill="1" applyBorder="1" applyAlignment="1">
      <alignment vertical="center"/>
    </xf>
    <xf numFmtId="37" fontId="15" fillId="20" borderId="10" xfId="0" applyNumberFormat="1" applyFont="1" applyFill="1" applyBorder="1" applyAlignment="1">
      <alignment horizontal="right" vertical="center"/>
    </xf>
    <xf numFmtId="2" fontId="14" fillId="24" borderId="0" xfId="0" applyNumberFormat="1" applyFont="1" applyFill="1" applyBorder="1" applyAlignment="1">
      <alignment vertical="center"/>
    </xf>
    <xf numFmtId="37" fontId="15" fillId="20" borderId="13" xfId="0" applyNumberFormat="1" applyFont="1" applyFill="1" applyBorder="1" applyAlignment="1">
      <alignment horizontal="right" vertical="center"/>
    </xf>
    <xf numFmtId="49" fontId="0" fillId="24" borderId="0" xfId="0" applyNumberFormat="1" applyFont="1" applyFill="1" applyBorder="1" applyAlignment="1">
      <alignment vertical="center"/>
    </xf>
    <xf numFmtId="0" fontId="21" fillId="24" borderId="0" xfId="0" applyFont="1" applyFill="1" applyAlignment="1">
      <alignment horizontal="center" vertical="center"/>
    </xf>
    <xf numFmtId="49" fontId="2" fillId="24" borderId="0" xfId="0" applyNumberFormat="1" applyFont="1" applyFill="1" applyBorder="1" applyAlignment="1">
      <alignment vertical="center"/>
    </xf>
    <xf numFmtId="49" fontId="10" fillId="20" borderId="10" xfId="0" applyNumberFormat="1" applyFont="1" applyFill="1" applyBorder="1" applyAlignment="1">
      <alignment horizontal="center" vertical="center"/>
    </xf>
    <xf numFmtId="49" fontId="10" fillId="20" borderId="10" xfId="0" applyNumberFormat="1" applyFont="1" applyFill="1" applyBorder="1" applyAlignment="1">
      <alignment vertical="center"/>
    </xf>
    <xf numFmtId="49" fontId="0" fillId="0" borderId="10" xfId="0" applyNumberFormat="1" applyFont="1" applyBorder="1" applyAlignment="1">
      <alignment horizontal="center" vertical="center"/>
    </xf>
    <xf numFmtId="49" fontId="0" fillId="0" borderId="10" xfId="0" applyNumberFormat="1" applyFont="1" applyBorder="1" applyAlignment="1">
      <alignment vertical="center"/>
    </xf>
    <xf numFmtId="41" fontId="0" fillId="0" borderId="10" xfId="0" applyNumberFormat="1" applyFont="1" applyBorder="1" applyAlignment="1">
      <alignment horizontal="center" vertical="center"/>
    </xf>
    <xf numFmtId="49" fontId="0" fillId="20" borderId="10" xfId="0" applyNumberFormat="1" applyFont="1" applyFill="1" applyBorder="1" applyAlignment="1">
      <alignment horizontal="center" vertical="center"/>
    </xf>
    <xf numFmtId="0" fontId="31" fillId="24" borderId="0" xfId="0" applyFont="1" applyFill="1" applyAlignment="1">
      <alignment vertical="center"/>
    </xf>
    <xf numFmtId="0" fontId="21" fillId="24" borderId="0" xfId="0" applyFont="1" applyFill="1" applyAlignment="1">
      <alignment vertical="center"/>
    </xf>
    <xf numFmtId="0" fontId="21" fillId="24" borderId="0" xfId="0" applyFont="1" applyFill="1" applyBorder="1" applyAlignment="1">
      <alignment vertical="center" wrapText="1"/>
    </xf>
    <xf numFmtId="0" fontId="21" fillId="24" borderId="0" xfId="0" applyFont="1" applyFill="1" applyBorder="1" applyAlignment="1">
      <alignment horizontal="center" vertical="center" wrapText="1"/>
    </xf>
    <xf numFmtId="0" fontId="21" fillId="24" borderId="0" xfId="0" applyFont="1" applyFill="1" applyBorder="1" applyAlignment="1">
      <alignment vertical="center"/>
    </xf>
    <xf numFmtId="49" fontId="21" fillId="24" borderId="0" xfId="0" applyNumberFormat="1" applyFont="1" applyFill="1" applyAlignment="1">
      <alignment vertical="center" wrapText="1"/>
    </xf>
    <xf numFmtId="49" fontId="21" fillId="24" borderId="0" xfId="0" applyNumberFormat="1" applyFont="1" applyFill="1" applyAlignment="1">
      <alignment vertical="center"/>
    </xf>
    <xf numFmtId="2" fontId="21" fillId="24" borderId="0" xfId="0" applyNumberFormat="1" applyFont="1" applyFill="1" applyBorder="1" applyAlignment="1">
      <alignment vertical="center"/>
    </xf>
    <xf numFmtId="2" fontId="15" fillId="0" borderId="0" xfId="0" applyNumberFormat="1" applyFont="1" applyAlignment="1">
      <alignment vertical="center"/>
    </xf>
    <xf numFmtId="49" fontId="21" fillId="24" borderId="0" xfId="0" applyNumberFormat="1" applyFont="1" applyFill="1" applyAlignment="1">
      <alignment wrapText="1"/>
    </xf>
    <xf numFmtId="49" fontId="0" fillId="24" borderId="0" xfId="0" applyNumberFormat="1" applyFill="1" applyAlignment="1">
      <alignment/>
    </xf>
    <xf numFmtId="0" fontId="31" fillId="24" borderId="0" xfId="0" applyFont="1" applyFill="1" applyBorder="1" applyAlignment="1">
      <alignment vertical="center" wrapText="1"/>
    </xf>
    <xf numFmtId="0" fontId="31" fillId="24" borderId="20" xfId="0" applyFont="1" applyFill="1" applyBorder="1" applyAlignment="1">
      <alignment vertical="center"/>
    </xf>
    <xf numFmtId="49" fontId="11" fillId="24" borderId="0" xfId="0" applyNumberFormat="1" applyFont="1" applyFill="1" applyBorder="1" applyAlignment="1">
      <alignment/>
    </xf>
    <xf numFmtId="49" fontId="25" fillId="0" borderId="0" xfId="0" applyNumberFormat="1" applyFont="1" applyBorder="1" applyAlignment="1">
      <alignment/>
    </xf>
    <xf numFmtId="0" fontId="10" fillId="0" borderId="0" xfId="0" applyNumberFormat="1" applyFont="1" applyAlignment="1">
      <alignment wrapText="1"/>
    </xf>
    <xf numFmtId="0" fontId="54" fillId="0" borderId="0" xfId="0" applyFont="1" applyBorder="1" applyAlignment="1">
      <alignment/>
    </xf>
    <xf numFmtId="49" fontId="0" fillId="24" borderId="18" xfId="0" applyNumberFormat="1" applyFont="1" applyFill="1" applyBorder="1" applyAlignment="1">
      <alignment horizontal="center"/>
    </xf>
    <xf numFmtId="49" fontId="0" fillId="24" borderId="18" xfId="0" applyNumberFormat="1" applyFont="1" applyFill="1" applyBorder="1" applyAlignment="1">
      <alignment/>
    </xf>
    <xf numFmtId="41" fontId="11" fillId="24" borderId="18" xfId="0" applyNumberFormat="1" applyFont="1" applyFill="1" applyBorder="1" applyAlignment="1">
      <alignment/>
    </xf>
    <xf numFmtId="49" fontId="0" fillId="0" borderId="18" xfId="0" applyNumberFormat="1" applyFont="1" applyBorder="1" applyAlignment="1">
      <alignment horizontal="center" vertical="center"/>
    </xf>
    <xf numFmtId="49" fontId="0" fillId="0" borderId="18" xfId="0" applyNumberFormat="1" applyFont="1" applyBorder="1" applyAlignment="1">
      <alignment vertical="center"/>
    </xf>
    <xf numFmtId="41" fontId="0" fillId="0" borderId="18" xfId="0" applyNumberFormat="1" applyFont="1" applyBorder="1" applyAlignment="1">
      <alignment horizontal="center" vertical="center"/>
    </xf>
    <xf numFmtId="49" fontId="13" fillId="0" borderId="18" xfId="0" applyNumberFormat="1" applyFont="1" applyBorder="1" applyAlignment="1">
      <alignment horizontal="center"/>
    </xf>
    <xf numFmtId="49" fontId="0" fillId="0" borderId="18" xfId="0" applyNumberFormat="1" applyFont="1" applyBorder="1" applyAlignment="1">
      <alignment/>
    </xf>
    <xf numFmtId="41" fontId="11" fillId="0" borderId="18" xfId="0" applyNumberFormat="1" applyFont="1" applyBorder="1" applyAlignment="1">
      <alignment horizontal="center"/>
    </xf>
    <xf numFmtId="49" fontId="19" fillId="24" borderId="21" xfId="0" applyNumberFormat="1" applyFont="1" applyFill="1" applyBorder="1" applyAlignment="1">
      <alignment horizontal="center" vertical="center" wrapText="1"/>
    </xf>
    <xf numFmtId="2" fontId="14" fillId="24" borderId="21" xfId="0" applyNumberFormat="1" applyFont="1" applyFill="1" applyBorder="1" applyAlignment="1">
      <alignment horizontal="left" vertical="center" wrapText="1"/>
    </xf>
    <xf numFmtId="49" fontId="19" fillId="0" borderId="21" xfId="0" applyNumberFormat="1" applyFont="1" applyBorder="1" applyAlignment="1">
      <alignment horizontal="center" vertical="center" wrapText="1"/>
    </xf>
    <xf numFmtId="2" fontId="14" fillId="0" borderId="18" xfId="0" applyNumberFormat="1" applyFont="1" applyBorder="1" applyAlignment="1">
      <alignment horizontal="left" vertical="center" wrapText="1"/>
    </xf>
    <xf numFmtId="2" fontId="19" fillId="24" borderId="21" xfId="0" applyNumberFormat="1" applyFont="1" applyFill="1" applyBorder="1" applyAlignment="1">
      <alignment horizontal="left" vertical="center" wrapText="1"/>
    </xf>
    <xf numFmtId="0" fontId="13" fillId="24" borderId="18" xfId="0" applyNumberFormat="1" applyFont="1" applyFill="1" applyBorder="1" applyAlignment="1" applyProtection="1">
      <alignment horizontal="center" vertical="center"/>
      <protection/>
    </xf>
    <xf numFmtId="49" fontId="13" fillId="24" borderId="18" xfId="0" applyNumberFormat="1" applyFont="1" applyFill="1" applyBorder="1" applyAlignment="1" applyProtection="1">
      <alignment horizontal="center" vertical="center"/>
      <protection/>
    </xf>
    <xf numFmtId="0" fontId="63" fillId="24" borderId="18" xfId="0" applyNumberFormat="1" applyFont="1" applyFill="1" applyBorder="1" applyAlignment="1" applyProtection="1">
      <alignment horizontal="center" vertical="center"/>
      <protection/>
    </xf>
    <xf numFmtId="4" fontId="68" fillId="20" borderId="10" xfId="0" applyNumberFormat="1" applyFont="1" applyFill="1" applyBorder="1" applyAlignment="1" applyProtection="1">
      <alignment horizontal="center" vertical="center"/>
      <protection/>
    </xf>
    <xf numFmtId="4" fontId="68" fillId="20" borderId="13" xfId="0" applyNumberFormat="1" applyFont="1" applyFill="1" applyBorder="1" applyAlignment="1" applyProtection="1">
      <alignment horizontal="center" vertical="center"/>
      <protection/>
    </xf>
    <xf numFmtId="4" fontId="28" fillId="20" borderId="13" xfId="0" applyNumberFormat="1" applyFont="1" applyFill="1" applyBorder="1" applyAlignment="1" applyProtection="1">
      <alignment horizontal="center" vertical="center"/>
      <protection/>
    </xf>
    <xf numFmtId="41" fontId="14" fillId="20" borderId="13" xfId="0" applyNumberFormat="1" applyFont="1" applyFill="1" applyBorder="1" applyAlignment="1" applyProtection="1">
      <alignment horizontal="center" vertical="center"/>
      <protection/>
    </xf>
    <xf numFmtId="3" fontId="69" fillId="20" borderId="10" xfId="0" applyNumberFormat="1" applyFont="1" applyFill="1" applyBorder="1" applyAlignment="1" applyProtection="1">
      <alignment horizontal="center" vertical="center"/>
      <protection/>
    </xf>
    <xf numFmtId="3" fontId="69" fillId="20" borderId="13" xfId="0" applyNumberFormat="1" applyFont="1" applyFill="1" applyBorder="1" applyAlignment="1" applyProtection="1">
      <alignment horizontal="center" vertical="center"/>
      <protection/>
    </xf>
    <xf numFmtId="4" fontId="70" fillId="20" borderId="10" xfId="0" applyNumberFormat="1" applyFont="1" applyFill="1" applyBorder="1" applyAlignment="1" applyProtection="1">
      <alignment horizontal="center" vertical="center"/>
      <protection/>
    </xf>
    <xf numFmtId="3" fontId="16" fillId="24" borderId="0" xfId="0" applyNumberFormat="1" applyFont="1" applyFill="1" applyAlignment="1">
      <alignment horizontal="center"/>
    </xf>
    <xf numFmtId="3" fontId="69" fillId="20" borderId="10" xfId="0" applyNumberFormat="1" applyFont="1" applyFill="1" applyBorder="1" applyAlignment="1">
      <alignment horizontal="center" vertical="center"/>
    </xf>
    <xf numFmtId="4" fontId="70" fillId="20" borderId="10" xfId="0" applyNumberFormat="1" applyFont="1" applyFill="1" applyBorder="1" applyAlignment="1">
      <alignment horizontal="center" vertical="center"/>
    </xf>
    <xf numFmtId="4" fontId="70" fillId="20" borderId="13" xfId="0" applyNumberFormat="1" applyFont="1" applyFill="1" applyBorder="1" applyAlignment="1">
      <alignment horizontal="center" vertical="center"/>
    </xf>
    <xf numFmtId="3" fontId="69" fillId="20" borderId="13" xfId="0" applyNumberFormat="1" applyFont="1" applyFill="1" applyBorder="1" applyAlignment="1">
      <alignment horizontal="center" vertical="center"/>
    </xf>
    <xf numFmtId="0" fontId="0" fillId="0" borderId="0" xfId="0" applyFont="1" applyBorder="1" applyAlignment="1">
      <alignment/>
    </xf>
    <xf numFmtId="41" fontId="19" fillId="20" borderId="19" xfId="57" applyNumberFormat="1" applyFont="1" applyFill="1" applyBorder="1" applyAlignment="1" applyProtection="1">
      <alignment horizontal="center" vertical="center" wrapText="1"/>
      <protection hidden="1"/>
    </xf>
    <xf numFmtId="0" fontId="19" fillId="0" borderId="16" xfId="0" applyFont="1" applyBorder="1" applyAlignment="1">
      <alignment vertical="center" wrapText="1"/>
    </xf>
    <xf numFmtId="0" fontId="19" fillId="0" borderId="15" xfId="0" applyFont="1" applyBorder="1" applyAlignment="1">
      <alignment vertical="center" wrapText="1"/>
    </xf>
    <xf numFmtId="0" fontId="33" fillId="0" borderId="19" xfId="0" applyFont="1" applyBorder="1" applyAlignment="1">
      <alignment horizontal="center" vertical="center" wrapText="1"/>
    </xf>
    <xf numFmtId="0" fontId="33" fillId="0" borderId="13" xfId="0" applyFont="1" applyBorder="1" applyAlignment="1">
      <alignment horizontal="center" vertical="center"/>
    </xf>
    <xf numFmtId="41" fontId="14" fillId="20" borderId="13" xfId="0" applyNumberFormat="1" applyFont="1" applyFill="1" applyBorder="1" applyAlignment="1">
      <alignment horizontal="center" vertical="center"/>
    </xf>
    <xf numFmtId="41" fontId="13" fillId="0" borderId="0" xfId="0" applyNumberFormat="1" applyFont="1" applyBorder="1" applyAlignment="1">
      <alignment/>
    </xf>
    <xf numFmtId="4" fontId="28" fillId="0" borderId="18" xfId="0" applyNumberFormat="1" applyFont="1" applyBorder="1" applyAlignment="1">
      <alignment horizontal="center" vertical="center"/>
    </xf>
    <xf numFmtId="41" fontId="0" fillId="0" borderId="11" xfId="0" applyNumberFormat="1" applyFont="1" applyBorder="1" applyAlignment="1">
      <alignment horizontal="center" vertical="center"/>
    </xf>
    <xf numFmtId="41" fontId="0" fillId="0" borderId="10" xfId="0" applyNumberFormat="1" applyFont="1" applyBorder="1" applyAlignment="1">
      <alignment horizontal="center" vertical="center"/>
    </xf>
    <xf numFmtId="41" fontId="0" fillId="25" borderId="10" xfId="0" applyNumberFormat="1" applyFont="1" applyFill="1" applyBorder="1" applyAlignment="1">
      <alignment horizontal="center" vertical="center"/>
    </xf>
    <xf numFmtId="41" fontId="0" fillId="0" borderId="13" xfId="0" applyNumberFormat="1" applyFont="1" applyBorder="1" applyAlignment="1">
      <alignment horizontal="center" vertical="center"/>
    </xf>
    <xf numFmtId="41" fontId="16" fillId="0" borderId="0" xfId="0" applyNumberFormat="1" applyFont="1" applyBorder="1" applyAlignment="1">
      <alignment/>
    </xf>
    <xf numFmtId="3" fontId="2" fillId="0" borderId="0" xfId="0" applyNumberFormat="1" applyFont="1" applyBorder="1" applyAlignment="1">
      <alignment horizontal="center"/>
    </xf>
    <xf numFmtId="3" fontId="2" fillId="20" borderId="0" xfId="0" applyNumberFormat="1" applyFont="1" applyFill="1" applyBorder="1" applyAlignment="1">
      <alignment horizontal="center"/>
    </xf>
    <xf numFmtId="3" fontId="2" fillId="25" borderId="0" xfId="0" applyNumberFormat="1" applyFont="1" applyFill="1" applyBorder="1" applyAlignment="1">
      <alignment horizontal="center"/>
    </xf>
    <xf numFmtId="3" fontId="71" fillId="0" borderId="0" xfId="0" applyNumberFormat="1" applyFont="1" applyBorder="1" applyAlignment="1">
      <alignment horizontal="center"/>
    </xf>
    <xf numFmtId="3" fontId="72" fillId="0" borderId="0" xfId="0" applyNumberFormat="1" applyFont="1" applyBorder="1" applyAlignment="1">
      <alignment horizontal="center"/>
    </xf>
    <xf numFmtId="3" fontId="71" fillId="20" borderId="0" xfId="0" applyNumberFormat="1" applyFont="1" applyFill="1" applyBorder="1" applyAlignment="1">
      <alignment horizontal="center"/>
    </xf>
    <xf numFmtId="41" fontId="11" fillId="24" borderId="11" xfId="0" applyNumberFormat="1" applyFont="1" applyFill="1" applyBorder="1" applyAlignment="1">
      <alignment vertical="center"/>
    </xf>
    <xf numFmtId="41" fontId="11" fillId="24" borderId="13" xfId="0" applyNumberFormat="1" applyFont="1" applyFill="1" applyBorder="1" applyAlignment="1">
      <alignment vertical="center"/>
    </xf>
    <xf numFmtId="41" fontId="15" fillId="20" borderId="10" xfId="0" applyNumberFormat="1" applyFont="1" applyFill="1" applyBorder="1" applyAlignment="1">
      <alignment horizontal="left" vertical="center"/>
    </xf>
    <xf numFmtId="39" fontId="28" fillId="20" borderId="18" xfId="0" applyNumberFormat="1" applyFont="1" applyFill="1" applyBorder="1" applyAlignment="1">
      <alignment vertical="center"/>
    </xf>
    <xf numFmtId="39" fontId="28" fillId="24" borderId="18" xfId="0" applyNumberFormat="1" applyFont="1" applyFill="1" applyBorder="1" applyAlignment="1">
      <alignment vertical="center"/>
    </xf>
    <xf numFmtId="41" fontId="16" fillId="24" borderId="0" xfId="0" applyNumberFormat="1" applyFont="1" applyFill="1" applyBorder="1" applyAlignment="1">
      <alignment/>
    </xf>
    <xf numFmtId="41" fontId="13" fillId="24" borderId="11" xfId="0" applyNumberFormat="1" applyFont="1" applyFill="1" applyBorder="1" applyAlignment="1">
      <alignment vertical="center"/>
    </xf>
    <xf numFmtId="41" fontId="14" fillId="20" borderId="16" xfId="0" applyNumberFormat="1" applyFont="1" applyFill="1" applyBorder="1" applyAlignment="1">
      <alignment horizontal="left" vertical="center"/>
    </xf>
    <xf numFmtId="41" fontId="14" fillId="20" borderId="10" xfId="0" applyNumberFormat="1" applyFont="1" applyFill="1" applyBorder="1" applyAlignment="1">
      <alignment horizontal="left" vertical="center"/>
    </xf>
    <xf numFmtId="4" fontId="28" fillId="20" borderId="18" xfId="0" applyNumberFormat="1" applyFont="1" applyFill="1" applyBorder="1" applyAlignment="1">
      <alignment horizontal="center" vertical="center"/>
    </xf>
    <xf numFmtId="4" fontId="28" fillId="24" borderId="18" xfId="0" applyNumberFormat="1" applyFont="1" applyFill="1" applyBorder="1" applyAlignment="1">
      <alignment horizontal="center" vertical="center"/>
    </xf>
    <xf numFmtId="41" fontId="16" fillId="24" borderId="0" xfId="0" applyNumberFormat="1" applyFont="1" applyFill="1" applyBorder="1" applyAlignment="1">
      <alignment/>
    </xf>
    <xf numFmtId="41" fontId="13" fillId="25" borderId="10" xfId="0" applyNumberFormat="1" applyFont="1" applyFill="1" applyBorder="1" applyAlignment="1">
      <alignment vertical="center"/>
    </xf>
    <xf numFmtId="41" fontId="13" fillId="24" borderId="13" xfId="0" applyNumberFormat="1" applyFont="1" applyFill="1" applyBorder="1" applyAlignment="1">
      <alignment vertical="center"/>
    </xf>
    <xf numFmtId="41" fontId="14" fillId="20" borderId="13" xfId="0" applyNumberFormat="1" applyFont="1" applyFill="1" applyBorder="1" applyAlignment="1">
      <alignment vertical="center"/>
    </xf>
    <xf numFmtId="41" fontId="13" fillId="20" borderId="10" xfId="0" applyNumberFormat="1" applyFont="1" applyFill="1" applyBorder="1" applyAlignment="1">
      <alignment vertical="center"/>
    </xf>
    <xf numFmtId="3" fontId="13" fillId="24" borderId="0" xfId="0" applyNumberFormat="1" applyFont="1" applyFill="1" applyBorder="1" applyAlignment="1">
      <alignment horizontal="center"/>
    </xf>
    <xf numFmtId="3" fontId="13" fillId="20" borderId="0" xfId="0" applyNumberFormat="1" applyFont="1" applyFill="1" applyBorder="1" applyAlignment="1">
      <alignment horizontal="center"/>
    </xf>
    <xf numFmtId="3" fontId="13" fillId="25" borderId="0" xfId="0" applyNumberFormat="1" applyFont="1" applyFill="1" applyBorder="1" applyAlignment="1">
      <alignment horizontal="center"/>
    </xf>
    <xf numFmtId="3" fontId="65" fillId="24" borderId="0" xfId="0" applyNumberFormat="1" applyFont="1" applyFill="1" applyBorder="1" applyAlignment="1">
      <alignment horizontal="center"/>
    </xf>
    <xf numFmtId="3" fontId="65" fillId="20" borderId="0" xfId="0" applyNumberFormat="1" applyFont="1" applyFill="1" applyBorder="1" applyAlignment="1">
      <alignment horizontal="center"/>
    </xf>
    <xf numFmtId="37" fontId="11" fillId="25" borderId="10" xfId="0" applyNumberFormat="1" applyFont="1" applyFill="1" applyBorder="1" applyAlignment="1">
      <alignment horizontal="right" vertical="center"/>
    </xf>
    <xf numFmtId="37" fontId="15" fillId="20" borderId="11" xfId="0" applyNumberFormat="1" applyFont="1" applyFill="1" applyBorder="1" applyAlignment="1">
      <alignment horizontal="right" vertical="center"/>
    </xf>
    <xf numFmtId="37" fontId="11" fillId="24" borderId="11" xfId="0" applyNumberFormat="1" applyFont="1" applyFill="1" applyBorder="1" applyAlignment="1">
      <alignment horizontal="right" vertical="center"/>
    </xf>
    <xf numFmtId="37" fontId="11" fillId="24" borderId="10" xfId="0" applyNumberFormat="1" applyFont="1" applyFill="1" applyBorder="1" applyAlignment="1">
      <alignment horizontal="right" vertical="center"/>
    </xf>
    <xf numFmtId="37" fontId="15" fillId="20" borderId="16" xfId="0" applyNumberFormat="1" applyFont="1" applyFill="1" applyBorder="1" applyAlignment="1">
      <alignment horizontal="right" vertical="center"/>
    </xf>
    <xf numFmtId="37" fontId="11" fillId="24" borderId="13" xfId="0" applyNumberFormat="1" applyFont="1" applyFill="1" applyBorder="1" applyAlignment="1">
      <alignment horizontal="right" vertical="center"/>
    </xf>
    <xf numFmtId="39" fontId="28" fillId="20" borderId="18" xfId="0" applyNumberFormat="1" applyFont="1" applyFill="1" applyBorder="1" applyAlignment="1">
      <alignment horizontal="center" vertical="center"/>
    </xf>
    <xf numFmtId="39" fontId="28" fillId="24" borderId="18" xfId="0" applyNumberFormat="1" applyFont="1" applyFill="1" applyBorder="1" applyAlignment="1">
      <alignment horizontal="center" vertical="center"/>
    </xf>
    <xf numFmtId="41" fontId="5" fillId="24" borderId="0" xfId="0" applyNumberFormat="1" applyFont="1" applyFill="1" applyAlignment="1">
      <alignment/>
    </xf>
    <xf numFmtId="49" fontId="13" fillId="24" borderId="10" xfId="0" applyNumberFormat="1" applyFont="1" applyFill="1" applyBorder="1" applyAlignment="1">
      <alignment horizontal="left" vertical="center"/>
    </xf>
    <xf numFmtId="4" fontId="68" fillId="24" borderId="18" xfId="0" applyNumberFormat="1" applyFont="1" applyFill="1" applyBorder="1" applyAlignment="1">
      <alignment horizontal="center" vertical="center"/>
    </xf>
    <xf numFmtId="3" fontId="5" fillId="25" borderId="0" xfId="0" applyNumberFormat="1" applyFont="1" applyFill="1" applyBorder="1" applyAlignment="1">
      <alignment horizontal="center"/>
    </xf>
    <xf numFmtId="0" fontId="11" fillId="0" borderId="11" xfId="0" applyNumberFormat="1" applyFont="1" applyFill="1" applyBorder="1" applyAlignment="1">
      <alignment horizontal="center" vertical="center" wrapText="1"/>
    </xf>
    <xf numFmtId="0" fontId="0" fillId="0" borderId="0" xfId="0" applyNumberFormat="1" applyFont="1" applyAlignment="1">
      <alignment horizontal="left"/>
    </xf>
    <xf numFmtId="0" fontId="22" fillId="0" borderId="0" xfId="0" applyNumberFormat="1" applyFont="1" applyAlignment="1">
      <alignment/>
    </xf>
    <xf numFmtId="0" fontId="0" fillId="0" borderId="0" xfId="0" applyNumberFormat="1" applyAlignment="1">
      <alignment horizontal="center"/>
    </xf>
    <xf numFmtId="0" fontId="0" fillId="0" borderId="0" xfId="0" applyNumberFormat="1" applyAlignment="1">
      <alignment/>
    </xf>
    <xf numFmtId="0" fontId="0" fillId="0" borderId="0" xfId="0" applyNumberFormat="1" applyFill="1" applyAlignment="1">
      <alignment/>
    </xf>
    <xf numFmtId="0" fontId="0" fillId="0" borderId="0" xfId="0" applyNumberFormat="1" applyFont="1" applyFill="1" applyAlignment="1">
      <alignment/>
    </xf>
    <xf numFmtId="0" fontId="0" fillId="24" borderId="0" xfId="0" applyNumberFormat="1" applyFont="1" applyFill="1" applyAlignment="1">
      <alignment/>
    </xf>
    <xf numFmtId="0" fontId="0" fillId="24" borderId="12" xfId="0" applyNumberFormat="1" applyFont="1" applyFill="1" applyBorder="1" applyAlignment="1">
      <alignment/>
    </xf>
    <xf numFmtId="0" fontId="11" fillId="0" borderId="10" xfId="0" applyNumberFormat="1" applyFont="1" applyBorder="1" applyAlignment="1">
      <alignment horizontal="center" vertical="center" wrapText="1"/>
    </xf>
    <xf numFmtId="0" fontId="20" fillId="0" borderId="10" xfId="0" applyNumberFormat="1" applyFont="1" applyFill="1" applyBorder="1" applyAlignment="1">
      <alignment horizontal="center" vertical="center" wrapText="1"/>
    </xf>
    <xf numFmtId="41" fontId="14" fillId="20" borderId="10" xfId="0" applyNumberFormat="1" applyFont="1" applyFill="1" applyBorder="1" applyAlignment="1" applyProtection="1">
      <alignment horizontal="center" vertical="center"/>
      <protection hidden="1"/>
    </xf>
    <xf numFmtId="0" fontId="14" fillId="0" borderId="10" xfId="0" applyNumberFormat="1" applyFont="1" applyBorder="1" applyAlignment="1">
      <alignment horizontal="center"/>
    </xf>
    <xf numFmtId="0" fontId="13" fillId="0" borderId="10" xfId="0" applyNumberFormat="1" applyFont="1" applyBorder="1" applyAlignment="1">
      <alignment horizontal="center"/>
    </xf>
    <xf numFmtId="0" fontId="13" fillId="0" borderId="18" xfId="0" applyNumberFormat="1" applyFont="1" applyBorder="1" applyAlignment="1">
      <alignment horizontal="center"/>
    </xf>
    <xf numFmtId="0" fontId="75" fillId="0" borderId="0" xfId="42" applyNumberFormat="1" applyFont="1" applyBorder="1" applyAlignment="1">
      <alignment vertical="center"/>
    </xf>
    <xf numFmtId="0" fontId="22" fillId="0" borderId="0" xfId="0" applyNumberFormat="1" applyFont="1" applyFill="1" applyBorder="1" applyAlignment="1">
      <alignment horizontal="center" wrapText="1"/>
    </xf>
    <xf numFmtId="0" fontId="76" fillId="0" borderId="0" xfId="0" applyNumberFormat="1" applyFont="1" applyBorder="1" applyAlignment="1">
      <alignment/>
    </xf>
    <xf numFmtId="0" fontId="77" fillId="0" borderId="0" xfId="0" applyNumberFormat="1" applyFont="1" applyBorder="1" applyAlignment="1">
      <alignment/>
    </xf>
    <xf numFmtId="0" fontId="21" fillId="0" borderId="0" xfId="0" applyNumberFormat="1" applyFont="1" applyFill="1" applyBorder="1" applyAlignment="1">
      <alignment horizontal="center" wrapText="1"/>
    </xf>
    <xf numFmtId="0" fontId="78" fillId="0" borderId="0" xfId="0" applyNumberFormat="1" applyFont="1" applyBorder="1" applyAlignment="1">
      <alignment/>
    </xf>
    <xf numFmtId="0" fontId="0" fillId="0" borderId="0" xfId="0" applyNumberFormat="1" applyFont="1" applyAlignment="1">
      <alignment horizontal="center" wrapText="1"/>
    </xf>
    <xf numFmtId="0" fontId="0" fillId="0" borderId="0" xfId="0" applyNumberFormat="1" applyFont="1" applyAlignment="1">
      <alignment horizontal="center"/>
    </xf>
    <xf numFmtId="0" fontId="10" fillId="0" borderId="0" xfId="0" applyNumberFormat="1" applyFont="1" applyFill="1" applyAlignment="1">
      <alignment wrapText="1"/>
    </xf>
    <xf numFmtId="0" fontId="13"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41" fontId="14" fillId="20" borderId="10" xfId="0" applyNumberFormat="1" applyFont="1" applyFill="1" applyBorder="1" applyAlignment="1" applyProtection="1">
      <alignment horizontal="center" vertical="center" wrapText="1"/>
      <protection hidden="1"/>
    </xf>
    <xf numFmtId="0" fontId="14" fillId="0" borderId="10" xfId="0" applyNumberFormat="1" applyFont="1" applyFill="1" applyBorder="1" applyAlignment="1">
      <alignment horizontal="center"/>
    </xf>
    <xf numFmtId="41" fontId="14" fillId="20" borderId="10" xfId="0" applyNumberFormat="1" applyFont="1" applyFill="1" applyBorder="1" applyAlignment="1" applyProtection="1">
      <alignment horizontal="center"/>
      <protection hidden="1"/>
    </xf>
    <xf numFmtId="0" fontId="22" fillId="0" borderId="0" xfId="0" applyNumberFormat="1" applyFont="1" applyFill="1" applyBorder="1" applyAlignment="1">
      <alignment vertical="center" wrapText="1"/>
    </xf>
    <xf numFmtId="0" fontId="29" fillId="0" borderId="0" xfId="0" applyNumberFormat="1" applyFont="1" applyFill="1" applyAlignment="1">
      <alignment/>
    </xf>
    <xf numFmtId="0" fontId="10" fillId="0" borderId="0" xfId="0" applyNumberFormat="1" applyFont="1" applyFill="1" applyAlignment="1">
      <alignment/>
    </xf>
    <xf numFmtId="0" fontId="11" fillId="0" borderId="0" xfId="0" applyNumberFormat="1" applyFont="1" applyFill="1" applyAlignment="1">
      <alignment/>
    </xf>
    <xf numFmtId="0" fontId="22" fillId="0" borderId="0" xfId="0" applyNumberFormat="1" applyFont="1" applyFill="1" applyAlignment="1">
      <alignment/>
    </xf>
    <xf numFmtId="0" fontId="13" fillId="0" borderId="13" xfId="0" applyNumberFormat="1" applyFont="1" applyFill="1" applyBorder="1" applyAlignment="1">
      <alignment horizontal="center"/>
    </xf>
    <xf numFmtId="0" fontId="13" fillId="0" borderId="18" xfId="0" applyNumberFormat="1" applyFont="1" applyFill="1" applyBorder="1" applyAlignment="1">
      <alignment horizontal="center"/>
    </xf>
    <xf numFmtId="0" fontId="0" fillId="0" borderId="0" xfId="0" applyNumberFormat="1" applyFont="1" applyBorder="1" applyAlignment="1">
      <alignment horizontal="left"/>
    </xf>
    <xf numFmtId="0" fontId="20" fillId="0" borderId="10" xfId="0" applyNumberFormat="1" applyFont="1" applyBorder="1" applyAlignment="1">
      <alignment horizontal="center"/>
    </xf>
    <xf numFmtId="0" fontId="22" fillId="0" borderId="0" xfId="0" applyNumberFormat="1" applyFont="1" applyBorder="1" applyAlignment="1">
      <alignment wrapText="1"/>
    </xf>
    <xf numFmtId="0" fontId="0" fillId="0" borderId="0" xfId="0" applyNumberFormat="1" applyFont="1" applyAlignment="1">
      <alignment wrapText="1"/>
    </xf>
    <xf numFmtId="0" fontId="25" fillId="0" borderId="0" xfId="0" applyNumberFormat="1" applyFont="1" applyAlignment="1">
      <alignment horizontal="left"/>
    </xf>
    <xf numFmtId="0" fontId="22" fillId="0" borderId="0" xfId="0" applyNumberFormat="1" applyFont="1" applyAlignment="1">
      <alignment/>
    </xf>
    <xf numFmtId="49" fontId="11" fillId="24" borderId="0" xfId="57" applyNumberFormat="1" applyFont="1" applyFill="1" applyBorder="1" applyAlignment="1">
      <alignment horizontal="left"/>
      <protection/>
    </xf>
    <xf numFmtId="49" fontId="11" fillId="0" borderId="0" xfId="57" applyNumberFormat="1" applyFont="1" applyBorder="1" applyAlignment="1">
      <alignment horizontal="left"/>
      <protection/>
    </xf>
    <xf numFmtId="49" fontId="15" fillId="0" borderId="0" xfId="57" applyNumberFormat="1" applyFont="1" applyBorder="1" applyAlignment="1">
      <alignment horizontal="left"/>
      <protection/>
    </xf>
    <xf numFmtId="49" fontId="13" fillId="0" borderId="0" xfId="57" applyNumberFormat="1" applyFont="1">
      <alignment/>
      <protection/>
    </xf>
    <xf numFmtId="49" fontId="0" fillId="0" borderId="12" xfId="57" applyNumberFormat="1" applyFont="1" applyBorder="1" applyAlignment="1">
      <alignment/>
      <protection/>
    </xf>
    <xf numFmtId="49" fontId="10" fillId="0" borderId="12" xfId="57" applyNumberFormat="1" applyFont="1" applyBorder="1" applyAlignment="1">
      <alignment horizontal="left"/>
      <protection/>
    </xf>
    <xf numFmtId="49" fontId="0" fillId="0" borderId="12" xfId="57" applyNumberFormat="1" applyFont="1" applyBorder="1" applyAlignment="1">
      <alignment horizontal="left"/>
      <protection/>
    </xf>
    <xf numFmtId="49" fontId="13" fillId="0" borderId="10" xfId="57" applyNumberFormat="1" applyFont="1" applyFill="1" applyBorder="1" applyAlignment="1">
      <alignment horizontal="center" vertical="center" wrapText="1"/>
      <protection/>
    </xf>
    <xf numFmtId="49" fontId="13" fillId="0" borderId="15" xfId="57" applyNumberFormat="1" applyFont="1" applyFill="1" applyBorder="1" applyAlignment="1">
      <alignment horizontal="center" vertical="center" wrapText="1"/>
      <protection/>
    </xf>
    <xf numFmtId="49" fontId="26" fillId="0" borderId="10" xfId="57" applyNumberFormat="1" applyFont="1" applyBorder="1" applyAlignment="1">
      <alignment horizontal="center"/>
      <protection/>
    </xf>
    <xf numFmtId="41" fontId="14" fillId="20" borderId="18" xfId="57" applyNumberFormat="1" applyFont="1" applyFill="1" applyBorder="1" applyAlignment="1" applyProtection="1">
      <alignment horizontal="center" vertical="center"/>
      <protection hidden="1"/>
    </xf>
    <xf numFmtId="49" fontId="22" fillId="0" borderId="0" xfId="57" applyNumberFormat="1" applyFont="1" applyBorder="1" applyAlignment="1">
      <alignment/>
      <protection/>
    </xf>
    <xf numFmtId="49" fontId="21" fillId="0" borderId="0" xfId="57" applyNumberFormat="1" applyFont="1" applyBorder="1" applyAlignment="1">
      <alignment/>
      <protection/>
    </xf>
    <xf numFmtId="0" fontId="11" fillId="0" borderId="0" xfId="57" applyNumberFormat="1" applyFont="1" applyAlignment="1">
      <alignment horizontal="left"/>
      <protection/>
    </xf>
    <xf numFmtId="3" fontId="0" fillId="24" borderId="0" xfId="57" applyNumberFormat="1" applyFont="1" applyFill="1" applyBorder="1" applyAlignment="1">
      <alignment/>
      <protection/>
    </xf>
    <xf numFmtId="0" fontId="0" fillId="0" borderId="0" xfId="57" applyFont="1" applyAlignment="1">
      <alignment horizontal="left"/>
      <protection/>
    </xf>
    <xf numFmtId="0" fontId="0" fillId="0" borderId="0" xfId="57" applyFont="1" applyBorder="1" applyAlignment="1">
      <alignment/>
      <protection/>
    </xf>
    <xf numFmtId="0" fontId="13" fillId="0" borderId="0" xfId="57" applyFont="1" applyAlignment="1">
      <alignment/>
      <protection/>
    </xf>
    <xf numFmtId="0" fontId="11" fillId="0" borderId="0" xfId="57" applyFont="1" applyBorder="1" applyAlignment="1">
      <alignment horizontal="left"/>
      <protection/>
    </xf>
    <xf numFmtId="0" fontId="11" fillId="0" borderId="0" xfId="57" applyFont="1" applyBorder="1" applyAlignment="1">
      <alignment/>
      <protection/>
    </xf>
    <xf numFmtId="0" fontId="13" fillId="0" borderId="0" xfId="57" applyFont="1">
      <alignment/>
      <protection/>
    </xf>
    <xf numFmtId="0" fontId="33" fillId="0" borderId="10" xfId="57" applyFont="1" applyBorder="1" applyAlignment="1">
      <alignment horizontal="center" vertical="center" wrapText="1"/>
      <protection/>
    </xf>
    <xf numFmtId="0" fontId="61" fillId="0" borderId="13" xfId="57" applyFont="1" applyBorder="1" applyAlignment="1">
      <alignment horizontal="center"/>
      <protection/>
    </xf>
    <xf numFmtId="0" fontId="61" fillId="0" borderId="10" xfId="57" applyFont="1" applyBorder="1" applyAlignment="1">
      <alignment horizontal="center"/>
      <protection/>
    </xf>
    <xf numFmtId="37" fontId="14" fillId="20" borderId="13" xfId="57" applyNumberFormat="1" applyFont="1" applyFill="1" applyBorder="1" applyAlignment="1" applyProtection="1">
      <alignment horizontal="center" vertical="center"/>
      <protection hidden="1"/>
    </xf>
    <xf numFmtId="0" fontId="0" fillId="0" borderId="0" xfId="57" applyFont="1">
      <alignment/>
      <protection/>
    </xf>
    <xf numFmtId="0" fontId="0" fillId="0" borderId="0" xfId="0" applyFont="1" applyAlignment="1">
      <alignment/>
    </xf>
    <xf numFmtId="49" fontId="21" fillId="0" borderId="0" xfId="57" applyNumberFormat="1" applyFont="1" applyAlignment="1">
      <alignment/>
      <protection/>
    </xf>
    <xf numFmtId="0" fontId="0" fillId="0" borderId="0" xfId="0" applyAlignment="1">
      <alignment vertical="center"/>
    </xf>
    <xf numFmtId="49" fontId="11" fillId="0" borderId="0" xfId="57" applyNumberFormat="1" applyFont="1" applyBorder="1" applyAlignment="1">
      <alignment vertical="center"/>
      <protection/>
    </xf>
    <xf numFmtId="49" fontId="21" fillId="0" borderId="0" xfId="57" applyNumberFormat="1" applyFont="1" applyAlignment="1">
      <alignment vertical="center" wrapText="1"/>
      <protection/>
    </xf>
    <xf numFmtId="49" fontId="66" fillId="0" borderId="0" xfId="57" applyNumberFormat="1" applyAlignment="1">
      <alignment horizontal="center" vertical="center"/>
      <protection/>
    </xf>
    <xf numFmtId="49" fontId="66" fillId="0" borderId="0" xfId="57" applyNumberFormat="1" applyAlignment="1">
      <alignment vertical="center"/>
      <protection/>
    </xf>
    <xf numFmtId="49" fontId="13" fillId="0" borderId="12" xfId="57" applyNumberFormat="1" applyFont="1" applyBorder="1" applyAlignment="1">
      <alignment vertical="center"/>
      <protection/>
    </xf>
    <xf numFmtId="49" fontId="26" fillId="24" borderId="10" xfId="57" applyNumberFormat="1" applyFont="1" applyFill="1" applyBorder="1" applyAlignment="1">
      <alignment horizontal="center" vertical="center"/>
      <protection/>
    </xf>
    <xf numFmtId="49" fontId="2" fillId="0" borderId="0" xfId="57" applyNumberFormat="1" applyFont="1" applyAlignment="1">
      <alignment vertical="center"/>
      <protection/>
    </xf>
    <xf numFmtId="49" fontId="66" fillId="0" borderId="0" xfId="57" applyNumberFormat="1" applyFont="1" applyAlignment="1">
      <alignment horizontal="center" vertical="center"/>
      <protection/>
    </xf>
    <xf numFmtId="0" fontId="14" fillId="20" borderId="10" xfId="57" applyFont="1" applyFill="1" applyBorder="1" applyAlignment="1">
      <alignment horizontal="center" vertical="center"/>
      <protection/>
    </xf>
    <xf numFmtId="0" fontId="13" fillId="20" borderId="13" xfId="57" applyFont="1" applyFill="1" applyBorder="1" applyAlignment="1">
      <alignment horizontal="center" vertical="center"/>
      <protection/>
    </xf>
    <xf numFmtId="49" fontId="26" fillId="0" borderId="22" xfId="57" applyNumberFormat="1" applyFont="1" applyBorder="1" applyAlignment="1">
      <alignment horizontal="center"/>
      <protection/>
    </xf>
    <xf numFmtId="41" fontId="19" fillId="20" borderId="10" xfId="57" applyNumberFormat="1" applyFont="1" applyFill="1" applyBorder="1" applyAlignment="1" applyProtection="1">
      <alignment horizontal="center"/>
      <protection hidden="1"/>
    </xf>
    <xf numFmtId="41" fontId="14" fillId="20" borderId="10" xfId="57" applyNumberFormat="1" applyFont="1" applyFill="1" applyBorder="1" applyAlignment="1" applyProtection="1">
      <alignment horizontal="center"/>
      <protection hidden="1"/>
    </xf>
    <xf numFmtId="41" fontId="19" fillId="20" borderId="10" xfId="57" applyNumberFormat="1" applyFont="1" applyFill="1" applyBorder="1" applyAlignment="1" applyProtection="1">
      <alignment horizontal="center" vertical="center"/>
      <protection hidden="1"/>
    </xf>
    <xf numFmtId="41" fontId="33" fillId="0" borderId="10" xfId="57" applyNumberFormat="1" applyFont="1" applyBorder="1" applyAlignment="1" applyProtection="1">
      <alignment vertical="center"/>
      <protection hidden="1"/>
    </xf>
    <xf numFmtId="0" fontId="10" fillId="0" borderId="0" xfId="57" applyFont="1">
      <alignment/>
      <protection/>
    </xf>
    <xf numFmtId="0" fontId="10" fillId="0" borderId="0" xfId="57" applyFont="1" applyAlignment="1">
      <alignment horizontal="center"/>
      <protection/>
    </xf>
    <xf numFmtId="0" fontId="15" fillId="0" borderId="0" xfId="57" applyFont="1" applyBorder="1" applyAlignment="1">
      <alignment/>
      <protection/>
    </xf>
    <xf numFmtId="0" fontId="10" fillId="0" borderId="0" xfId="57" applyFont="1" applyFill="1" applyBorder="1">
      <alignment/>
      <protection/>
    </xf>
    <xf numFmtId="0" fontId="10" fillId="0" borderId="0" xfId="57" applyFont="1" applyFill="1">
      <alignment/>
      <protection/>
    </xf>
    <xf numFmtId="0" fontId="64" fillId="0" borderId="10" xfId="57" applyFont="1" applyFill="1" applyBorder="1" applyAlignment="1">
      <alignment horizontal="center" vertical="center"/>
      <protection/>
    </xf>
    <xf numFmtId="0" fontId="80" fillId="0" borderId="10" xfId="57" applyFont="1" applyFill="1" applyBorder="1" applyAlignment="1">
      <alignment horizontal="center" vertical="center" wrapText="1"/>
      <protection/>
    </xf>
    <xf numFmtId="0" fontId="64" fillId="0" borderId="10" xfId="57" applyFont="1" applyFill="1" applyBorder="1" applyAlignment="1">
      <alignment horizontal="center" vertical="center" wrapText="1"/>
      <protection/>
    </xf>
    <xf numFmtId="0" fontId="20" fillId="0" borderId="10" xfId="57" applyFont="1" applyBorder="1" applyAlignment="1">
      <alignment horizontal="center"/>
      <protection/>
    </xf>
    <xf numFmtId="0" fontId="0" fillId="0" borderId="0" xfId="57" applyFont="1" applyAlignment="1">
      <alignment horizontal="center"/>
      <protection/>
    </xf>
    <xf numFmtId="0" fontId="10" fillId="0" borderId="0" xfId="57" applyFont="1" applyBorder="1">
      <alignment/>
      <protection/>
    </xf>
    <xf numFmtId="49" fontId="13" fillId="0" borderId="0" xfId="57" applyNumberFormat="1" applyFont="1" applyBorder="1" applyAlignment="1">
      <alignment horizontal="left" vertical="center" wrapText="1"/>
      <protection/>
    </xf>
    <xf numFmtId="2" fontId="21" fillId="0" borderId="0" xfId="0" applyNumberFormat="1" applyFont="1" applyAlignment="1">
      <alignment horizontal="center" vertical="center"/>
    </xf>
    <xf numFmtId="2" fontId="21" fillId="24" borderId="0" xfId="0" applyNumberFormat="1" applyFont="1" applyFill="1" applyAlignment="1">
      <alignment horizontal="center" vertical="center"/>
    </xf>
    <xf numFmtId="0" fontId="0" fillId="0" borderId="10" xfId="0" applyNumberFormat="1" applyBorder="1" applyAlignment="1">
      <alignment vertical="center"/>
    </xf>
    <xf numFmtId="0" fontId="0" fillId="26" borderId="10" xfId="0" applyNumberFormat="1" applyFont="1" applyFill="1" applyBorder="1" applyAlignment="1">
      <alignment vertical="center"/>
    </xf>
    <xf numFmtId="0" fontId="0" fillId="26" borderId="10" xfId="0" applyNumberFormat="1" applyFill="1" applyBorder="1" applyAlignment="1">
      <alignment vertical="center"/>
    </xf>
    <xf numFmtId="0" fontId="27" fillId="26" borderId="10" xfId="0" applyNumberFormat="1" applyFont="1" applyFill="1" applyBorder="1" applyAlignment="1">
      <alignment vertical="center"/>
    </xf>
    <xf numFmtId="0" fontId="0" fillId="0" borderId="17" xfId="0" applyNumberFormat="1" applyFill="1" applyBorder="1" applyAlignment="1">
      <alignment vertical="center"/>
    </xf>
    <xf numFmtId="0" fontId="0" fillId="26" borderId="17" xfId="0" applyNumberFormat="1" applyFont="1" applyFill="1" applyBorder="1" applyAlignment="1">
      <alignment vertical="center"/>
    </xf>
    <xf numFmtId="0" fontId="0" fillId="0" borderId="0" xfId="0" applyNumberFormat="1" applyAlignment="1">
      <alignment vertical="center"/>
    </xf>
    <xf numFmtId="0" fontId="27" fillId="26" borderId="10" xfId="0" applyNumberFormat="1" applyFont="1" applyFill="1" applyBorder="1" applyAlignment="1">
      <alignment vertical="center" wrapText="1"/>
    </xf>
    <xf numFmtId="2" fontId="31" fillId="0" borderId="0" xfId="0" applyNumberFormat="1" applyFont="1" applyBorder="1" applyAlignment="1">
      <alignment horizontal="center" wrapText="1"/>
    </xf>
    <xf numFmtId="2" fontId="21" fillId="0" borderId="0" xfId="0" applyNumberFormat="1" applyFont="1" applyAlignment="1">
      <alignment horizontal="center"/>
    </xf>
    <xf numFmtId="2" fontId="22" fillId="0" borderId="0" xfId="0" applyNumberFormat="1" applyFont="1" applyAlignment="1">
      <alignment/>
    </xf>
    <xf numFmtId="2" fontId="22" fillId="0" borderId="0" xfId="0" applyNumberFormat="1" applyFont="1" applyAlignment="1">
      <alignment horizontal="left"/>
    </xf>
    <xf numFmtId="2" fontId="22" fillId="0" borderId="0" xfId="0" applyNumberFormat="1" applyFont="1" applyBorder="1" applyAlignment="1">
      <alignment/>
    </xf>
    <xf numFmtId="2" fontId="22" fillId="0" borderId="0" xfId="0" applyNumberFormat="1" applyFont="1" applyAlignment="1">
      <alignment horizontal="center"/>
    </xf>
    <xf numFmtId="2" fontId="11" fillId="0" borderId="0" xfId="0" applyNumberFormat="1" applyFont="1" applyAlignment="1">
      <alignment/>
    </xf>
    <xf numFmtId="2" fontId="15" fillId="0" borderId="0" xfId="0" applyNumberFormat="1" applyFont="1" applyAlignment="1">
      <alignment/>
    </xf>
    <xf numFmtId="2" fontId="11" fillId="0" borderId="0" xfId="0" applyNumberFormat="1" applyFont="1" applyAlignment="1">
      <alignment/>
    </xf>
    <xf numFmtId="2" fontId="0" fillId="26" borderId="0" xfId="0" applyNumberFormat="1" applyFont="1" applyFill="1" applyAlignment="1">
      <alignment/>
    </xf>
    <xf numFmtId="2" fontId="0" fillId="24" borderId="0" xfId="0" applyNumberFormat="1" applyFont="1" applyFill="1" applyAlignment="1">
      <alignment/>
    </xf>
    <xf numFmtId="2" fontId="21" fillId="0" borderId="0" xfId="0" applyNumberFormat="1" applyFont="1" applyAlignment="1">
      <alignment horizontal="center"/>
    </xf>
    <xf numFmtId="2" fontId="21" fillId="0" borderId="0" xfId="0" applyNumberFormat="1" applyFont="1" applyBorder="1" applyAlignment="1">
      <alignment horizontal="center" vertical="center"/>
    </xf>
    <xf numFmtId="2" fontId="22" fillId="0" borderId="0" xfId="0" applyNumberFormat="1" applyFont="1" applyBorder="1" applyAlignment="1">
      <alignment horizontal="center" vertical="center"/>
    </xf>
    <xf numFmtId="2" fontId="31" fillId="0" borderId="0" xfId="0" applyNumberFormat="1" applyFont="1" applyBorder="1" applyAlignment="1">
      <alignment vertical="center"/>
    </xf>
    <xf numFmtId="2" fontId="21" fillId="0" borderId="0" xfId="0" applyNumberFormat="1" applyFont="1" applyBorder="1" applyAlignment="1">
      <alignment vertical="center"/>
    </xf>
    <xf numFmtId="2" fontId="21" fillId="0" borderId="0" xfId="0" applyNumberFormat="1" applyFont="1" applyAlignment="1">
      <alignment vertical="center"/>
    </xf>
    <xf numFmtId="0" fontId="0" fillId="0" borderId="11" xfId="0" applyNumberFormat="1" applyBorder="1" applyAlignment="1">
      <alignment vertical="center"/>
    </xf>
    <xf numFmtId="2" fontId="22" fillId="0" borderId="0" xfId="57" applyNumberFormat="1" applyFont="1" applyBorder="1" applyAlignment="1">
      <alignment wrapText="1"/>
      <protection/>
    </xf>
    <xf numFmtId="2" fontId="21" fillId="0" borderId="0" xfId="57" applyNumberFormat="1" applyFont="1" applyBorder="1" applyAlignment="1">
      <alignment/>
      <protection/>
    </xf>
    <xf numFmtId="2" fontId="10" fillId="0" borderId="0" xfId="57" applyNumberFormat="1" applyFont="1" applyAlignment="1">
      <alignment horizontal="center"/>
      <protection/>
    </xf>
    <xf numFmtId="2" fontId="2" fillId="0" borderId="0" xfId="57" applyNumberFormat="1" applyFont="1">
      <alignment/>
      <protection/>
    </xf>
    <xf numFmtId="2" fontId="21" fillId="0" borderId="0" xfId="57" applyNumberFormat="1" applyFont="1" applyBorder="1" applyAlignment="1">
      <alignment wrapText="1"/>
      <protection/>
    </xf>
    <xf numFmtId="2" fontId="22" fillId="0" borderId="0" xfId="57" applyNumberFormat="1" applyFont="1" applyBorder="1" applyAlignment="1">
      <alignment/>
      <protection/>
    </xf>
    <xf numFmtId="2" fontId="66" fillId="0" borderId="0" xfId="57" applyNumberFormat="1">
      <alignment/>
      <protection/>
    </xf>
    <xf numFmtId="2" fontId="21" fillId="0" borderId="0" xfId="57" applyNumberFormat="1" applyFont="1" applyBorder="1" applyAlignment="1">
      <alignment horizontal="center" wrapText="1"/>
      <protection/>
    </xf>
    <xf numFmtId="2" fontId="21" fillId="0" borderId="0" xfId="57" applyNumberFormat="1" applyFont="1">
      <alignment/>
      <protection/>
    </xf>
    <xf numFmtId="2" fontId="21" fillId="0" borderId="0" xfId="57" applyNumberFormat="1" applyFont="1" applyAlignment="1">
      <alignment/>
      <protection/>
    </xf>
    <xf numFmtId="2" fontId="10" fillId="0" borderId="0" xfId="57" applyNumberFormat="1" applyFont="1">
      <alignment/>
      <protection/>
    </xf>
    <xf numFmtId="49" fontId="13" fillId="24" borderId="0" xfId="57" applyNumberFormat="1" applyFont="1" applyFill="1" applyBorder="1" applyAlignment="1">
      <alignment vertical="center"/>
      <protection/>
    </xf>
    <xf numFmtId="49" fontId="13" fillId="0" borderId="0" xfId="57" applyNumberFormat="1" applyFont="1" applyAlignment="1">
      <alignment vertical="center"/>
      <protection/>
    </xf>
    <xf numFmtId="49" fontId="13" fillId="0" borderId="0" xfId="57" applyNumberFormat="1" applyFont="1" applyBorder="1" applyAlignment="1">
      <alignment vertical="center"/>
      <protection/>
    </xf>
    <xf numFmtId="49" fontId="11" fillId="0" borderId="0" xfId="57" applyNumberFormat="1" applyFont="1" applyBorder="1" applyAlignment="1">
      <alignment horizontal="left" vertical="center"/>
      <protection/>
    </xf>
    <xf numFmtId="49" fontId="0" fillId="0" borderId="0" xfId="57" applyNumberFormat="1" applyFont="1" applyBorder="1" applyAlignment="1">
      <alignment horizontal="left" vertical="center"/>
      <protection/>
    </xf>
    <xf numFmtId="49" fontId="15" fillId="0" borderId="0" xfId="57" applyNumberFormat="1" applyFont="1" applyAlignment="1">
      <alignment vertical="center"/>
      <protection/>
    </xf>
    <xf numFmtId="49" fontId="11" fillId="0" borderId="0" xfId="57" applyNumberFormat="1" applyFont="1" applyAlignment="1">
      <alignment vertical="center"/>
      <protection/>
    </xf>
    <xf numFmtId="49" fontId="13" fillId="0" borderId="0" xfId="57" applyNumberFormat="1" applyFont="1" applyAlignment="1">
      <alignment horizontal="center" vertical="center"/>
      <protection/>
    </xf>
    <xf numFmtId="2" fontId="13" fillId="0" borderId="0" xfId="57" applyNumberFormat="1" applyFont="1">
      <alignment/>
      <protection/>
    </xf>
    <xf numFmtId="2" fontId="22" fillId="0" borderId="20" xfId="57" applyNumberFormat="1" applyFont="1" applyBorder="1" applyAlignment="1">
      <alignment/>
      <protection/>
    </xf>
    <xf numFmtId="49" fontId="0" fillId="0" borderId="0" xfId="57" applyNumberFormat="1" applyFont="1" applyAlignment="1">
      <alignment horizontal="left" vertical="center"/>
      <protection/>
    </xf>
    <xf numFmtId="2" fontId="0" fillId="24" borderId="0" xfId="57" applyNumberFormat="1" applyFont="1" applyFill="1" applyBorder="1" applyAlignment="1">
      <alignment vertical="center"/>
      <protection/>
    </xf>
    <xf numFmtId="2" fontId="15" fillId="0" borderId="0" xfId="57" applyNumberFormat="1" applyFont="1" applyAlignment="1">
      <alignment vertical="center"/>
      <protection/>
    </xf>
    <xf numFmtId="2" fontId="13" fillId="0" borderId="0" xfId="57" applyNumberFormat="1" applyFont="1" applyAlignment="1">
      <alignment vertical="center"/>
      <protection/>
    </xf>
    <xf numFmtId="2" fontId="14" fillId="0" borderId="12" xfId="57" applyNumberFormat="1" applyFont="1" applyBorder="1" applyAlignment="1">
      <alignment vertical="center"/>
      <protection/>
    </xf>
    <xf numFmtId="2" fontId="0" fillId="0" borderId="0" xfId="0" applyNumberFormat="1" applyAlignment="1">
      <alignment vertical="center"/>
    </xf>
    <xf numFmtId="2" fontId="22" fillId="0" borderId="0" xfId="57" applyNumberFormat="1" applyFont="1" applyAlignment="1">
      <alignment/>
      <protection/>
    </xf>
    <xf numFmtId="2" fontId="13" fillId="0" borderId="0" xfId="57" applyNumberFormat="1" applyFont="1" applyAlignment="1">
      <alignment/>
      <protection/>
    </xf>
    <xf numFmtId="49" fontId="13" fillId="0" borderId="0" xfId="57" applyNumberFormat="1" applyFont="1" applyBorder="1" applyAlignment="1">
      <alignment vertical="center" wrapText="1"/>
      <protection/>
    </xf>
    <xf numFmtId="2" fontId="79" fillId="0" borderId="0" xfId="57" applyNumberFormat="1" applyFont="1" applyAlignment="1">
      <alignment vertical="center"/>
      <protection/>
    </xf>
    <xf numFmtId="2" fontId="22" fillId="0" borderId="0" xfId="57" applyNumberFormat="1" applyFont="1" applyBorder="1" applyAlignment="1">
      <alignment vertical="center"/>
      <protection/>
    </xf>
    <xf numFmtId="2" fontId="21" fillId="0" borderId="0" xfId="57" applyNumberFormat="1" applyFont="1" applyBorder="1" applyAlignment="1">
      <alignment vertical="center"/>
      <protection/>
    </xf>
    <xf numFmtId="2" fontId="66" fillId="0" borderId="0" xfId="57" applyNumberFormat="1" applyAlignment="1">
      <alignment horizontal="center" vertical="center"/>
      <protection/>
    </xf>
    <xf numFmtId="2" fontId="66" fillId="0" borderId="0" xfId="57" applyNumberFormat="1" applyAlignment="1">
      <alignment vertical="center"/>
      <protection/>
    </xf>
    <xf numFmtId="2" fontId="21" fillId="0" borderId="0" xfId="57" applyNumberFormat="1" applyFont="1" applyAlignment="1">
      <alignment vertical="center"/>
      <protection/>
    </xf>
    <xf numFmtId="2" fontId="0" fillId="24" borderId="0" xfId="57" applyNumberFormat="1" applyFont="1" applyFill="1" applyBorder="1" applyAlignment="1">
      <alignment/>
      <protection/>
    </xf>
    <xf numFmtId="2" fontId="0" fillId="0" borderId="0" xfId="57" applyNumberFormat="1" applyFont="1" applyBorder="1" applyAlignment="1">
      <alignment/>
      <protection/>
    </xf>
    <xf numFmtId="2" fontId="0" fillId="0" borderId="0" xfId="57" applyNumberFormat="1" applyFont="1">
      <alignment/>
      <protection/>
    </xf>
    <xf numFmtId="2" fontId="10" fillId="0" borderId="0" xfId="57" applyNumberFormat="1" applyFont="1" applyBorder="1" applyAlignment="1">
      <alignment/>
      <protection/>
    </xf>
    <xf numFmtId="2" fontId="0" fillId="0" borderId="0" xfId="0" applyNumberFormat="1" applyFont="1" applyAlignment="1">
      <alignment/>
    </xf>
    <xf numFmtId="0" fontId="81" fillId="24" borderId="17" xfId="0" applyNumberFormat="1" applyFont="1" applyFill="1" applyBorder="1" applyAlignment="1" applyProtection="1">
      <alignment horizontal="center" vertical="center"/>
      <protection/>
    </xf>
    <xf numFmtId="0" fontId="81" fillId="24" borderId="18" xfId="0" applyNumberFormat="1" applyFont="1" applyFill="1" applyBorder="1" applyAlignment="1" applyProtection="1">
      <alignment horizontal="center" vertical="center"/>
      <protection/>
    </xf>
    <xf numFmtId="2" fontId="22" fillId="24" borderId="0" xfId="0" applyNumberFormat="1" applyFont="1" applyFill="1" applyBorder="1" applyAlignment="1">
      <alignment horizontal="center" wrapText="1"/>
    </xf>
    <xf numFmtId="2" fontId="21" fillId="24" borderId="0" xfId="0" applyNumberFormat="1" applyFont="1" applyFill="1" applyBorder="1" applyAlignment="1">
      <alignment horizontal="center" wrapText="1"/>
    </xf>
    <xf numFmtId="2" fontId="21" fillId="24" borderId="0" xfId="0" applyNumberFormat="1" applyFont="1" applyFill="1" applyBorder="1" applyAlignment="1">
      <alignment horizontal="center" vertical="center" wrapText="1"/>
    </xf>
    <xf numFmtId="2" fontId="21" fillId="24" borderId="0" xfId="0" applyNumberFormat="1" applyFont="1" applyFill="1" applyAlignment="1">
      <alignment vertical="center" wrapText="1"/>
    </xf>
    <xf numFmtId="2" fontId="21" fillId="24" borderId="0" xfId="0" applyNumberFormat="1" applyFont="1" applyFill="1" applyAlignment="1">
      <alignment vertical="center"/>
    </xf>
    <xf numFmtId="2" fontId="11" fillId="24" borderId="0" xfId="0" applyNumberFormat="1" applyFont="1" applyFill="1" applyAlignment="1">
      <alignment wrapText="1"/>
    </xf>
    <xf numFmtId="2" fontId="21" fillId="24" borderId="0" xfId="0" applyNumberFormat="1" applyFont="1" applyFill="1" applyAlignment="1">
      <alignment wrapText="1"/>
    </xf>
    <xf numFmtId="2" fontId="0" fillId="24" borderId="0" xfId="0" applyNumberFormat="1" applyFont="1" applyFill="1" applyBorder="1" applyAlignment="1">
      <alignment/>
    </xf>
    <xf numFmtId="2" fontId="25" fillId="24" borderId="12" xfId="0" applyNumberFormat="1" applyFont="1" applyFill="1" applyBorder="1" applyAlignment="1">
      <alignment/>
    </xf>
    <xf numFmtId="2" fontId="21" fillId="24" borderId="0" xfId="0" applyNumberFormat="1" applyFont="1" applyFill="1" applyAlignment="1">
      <alignment/>
    </xf>
    <xf numFmtId="2" fontId="0" fillId="24" borderId="0" xfId="0" applyNumberFormat="1" applyFont="1" applyFill="1" applyAlignment="1">
      <alignment horizontal="center"/>
    </xf>
    <xf numFmtId="2" fontId="21" fillId="0" borderId="0" xfId="0" applyNumberFormat="1" applyFont="1" applyBorder="1" applyAlignment="1">
      <alignment/>
    </xf>
    <xf numFmtId="2" fontId="22" fillId="0" borderId="0" xfId="0" applyNumberFormat="1" applyFont="1" applyAlignment="1">
      <alignment/>
    </xf>
    <xf numFmtId="2" fontId="13" fillId="0" borderId="0" xfId="0" applyNumberFormat="1" applyFont="1" applyAlignment="1">
      <alignment/>
    </xf>
    <xf numFmtId="2" fontId="0" fillId="0" borderId="0" xfId="0" applyNumberFormat="1" applyFont="1" applyBorder="1" applyAlignment="1">
      <alignment horizontal="left"/>
    </xf>
    <xf numFmtId="2" fontId="22" fillId="0" borderId="0" xfId="0" applyNumberFormat="1" applyFont="1" applyBorder="1" applyAlignment="1">
      <alignment vertical="center"/>
    </xf>
    <xf numFmtId="2" fontId="22" fillId="0" borderId="0" xfId="0" applyNumberFormat="1" applyFont="1" applyAlignment="1">
      <alignment vertical="center"/>
    </xf>
    <xf numFmtId="2" fontId="13" fillId="0" borderId="0" xfId="0" applyNumberFormat="1" applyFont="1" applyAlignment="1">
      <alignment vertical="center"/>
    </xf>
    <xf numFmtId="0" fontId="65" fillId="24" borderId="10" xfId="0" applyNumberFormat="1" applyFont="1" applyFill="1" applyBorder="1" applyAlignment="1" applyProtection="1">
      <alignment horizontal="center" vertical="center"/>
      <protection/>
    </xf>
    <xf numFmtId="0" fontId="65" fillId="24" borderId="18" xfId="0" applyNumberFormat="1" applyFont="1" applyFill="1" applyBorder="1" applyAlignment="1" applyProtection="1">
      <alignment horizontal="center" vertical="center"/>
      <protection/>
    </xf>
    <xf numFmtId="3" fontId="16" fillId="0" borderId="10" xfId="57" applyNumberFormat="1" applyFont="1" applyBorder="1" applyAlignment="1" applyProtection="1">
      <alignment horizontal="center" vertical="center"/>
      <protection hidden="1"/>
    </xf>
    <xf numFmtId="41" fontId="82" fillId="0" borderId="0" xfId="0" applyNumberFormat="1" applyFont="1" applyBorder="1" applyAlignment="1">
      <alignment/>
    </xf>
    <xf numFmtId="0" fontId="83" fillId="24" borderId="10" xfId="57" applyFont="1" applyFill="1" applyBorder="1" applyAlignment="1">
      <alignment horizontal="left" vertical="center"/>
      <protection/>
    </xf>
    <xf numFmtId="0" fontId="83" fillId="20" borderId="10" xfId="57" applyFont="1" applyFill="1" applyBorder="1" applyAlignment="1">
      <alignment horizontal="left" vertical="center"/>
      <protection/>
    </xf>
    <xf numFmtId="49" fontId="56" fillId="24" borderId="10" xfId="0" applyNumberFormat="1" applyFont="1" applyFill="1" applyBorder="1" applyAlignment="1">
      <alignment horizontal="left" vertical="center"/>
    </xf>
    <xf numFmtId="49" fontId="56" fillId="24" borderId="18" xfId="0" applyNumberFormat="1" applyFont="1" applyFill="1" applyBorder="1" applyAlignment="1">
      <alignment horizontal="left" vertical="center"/>
    </xf>
    <xf numFmtId="41" fontId="84" fillId="20" borderId="10" xfId="57" applyNumberFormat="1" applyFont="1" applyFill="1" applyBorder="1" applyAlignment="1" applyProtection="1">
      <alignment horizontal="center" vertical="center"/>
      <protection hidden="1"/>
    </xf>
    <xf numFmtId="41" fontId="55" fillId="0" borderId="10" xfId="57" applyNumberFormat="1" applyFont="1" applyBorder="1" applyAlignment="1" applyProtection="1">
      <alignment vertical="center"/>
      <protection hidden="1"/>
    </xf>
    <xf numFmtId="41" fontId="54" fillId="0" borderId="10" xfId="57" applyNumberFormat="1" applyFont="1" applyBorder="1" applyAlignment="1" applyProtection="1">
      <alignment vertical="center"/>
      <protection hidden="1"/>
    </xf>
    <xf numFmtId="41" fontId="54" fillId="0" borderId="10" xfId="57" applyNumberFormat="1" applyFont="1" applyBorder="1" applyAlignment="1" applyProtection="1">
      <alignment horizontal="center" vertical="center"/>
      <protection hidden="1"/>
    </xf>
    <xf numFmtId="41" fontId="84" fillId="20" borderId="18" xfId="57" applyNumberFormat="1" applyFont="1" applyFill="1" applyBorder="1" applyAlignment="1" applyProtection="1">
      <alignment horizontal="center" vertical="center"/>
      <protection hidden="1"/>
    </xf>
    <xf numFmtId="41" fontId="54" fillId="0" borderId="18" xfId="57" applyNumberFormat="1" applyFont="1" applyBorder="1" applyAlignment="1" applyProtection="1">
      <alignment horizontal="center" vertical="center"/>
      <protection hidden="1"/>
    </xf>
    <xf numFmtId="41" fontId="54" fillId="0" borderId="18" xfId="57" applyNumberFormat="1" applyFont="1" applyBorder="1" applyAlignment="1" applyProtection="1">
      <alignment vertical="center"/>
      <protection hidden="1"/>
    </xf>
    <xf numFmtId="41" fontId="55" fillId="0" borderId="18" xfId="57" applyNumberFormat="1" applyFont="1" applyBorder="1" applyAlignment="1" applyProtection="1">
      <alignment vertical="center"/>
      <protection hidden="1"/>
    </xf>
    <xf numFmtId="41" fontId="85" fillId="20" borderId="10" xfId="57" applyNumberFormat="1" applyFont="1" applyFill="1" applyBorder="1" applyAlignment="1" applyProtection="1">
      <alignment horizontal="center" vertical="center"/>
      <protection hidden="1"/>
    </xf>
    <xf numFmtId="41" fontId="54" fillId="24" borderId="10" xfId="57" applyNumberFormat="1" applyFont="1" applyFill="1" applyBorder="1" applyAlignment="1" applyProtection="1">
      <alignment vertical="center"/>
      <protection hidden="1"/>
    </xf>
    <xf numFmtId="0" fontId="56" fillId="0" borderId="10" xfId="57" applyFont="1" applyBorder="1" applyAlignment="1">
      <alignment horizontal="center" vertical="center"/>
      <protection/>
    </xf>
    <xf numFmtId="0" fontId="56" fillId="0" borderId="18" xfId="57" applyFont="1" applyBorder="1" applyAlignment="1">
      <alignment horizontal="center" vertical="center"/>
      <protection/>
    </xf>
    <xf numFmtId="41" fontId="85" fillId="20" borderId="18" xfId="57" applyNumberFormat="1" applyFont="1" applyFill="1" applyBorder="1" applyAlignment="1" applyProtection="1">
      <alignment horizontal="center" vertical="center"/>
      <protection hidden="1"/>
    </xf>
    <xf numFmtId="41" fontId="54" fillId="24" borderId="18" xfId="57" applyNumberFormat="1" applyFont="1" applyFill="1" applyBorder="1" applyAlignment="1" applyProtection="1">
      <alignment vertical="center"/>
      <protection hidden="1"/>
    </xf>
    <xf numFmtId="0" fontId="83" fillId="0" borderId="10" xfId="57" applyFont="1" applyBorder="1" applyAlignment="1">
      <alignment horizontal="center" vertical="center"/>
      <protection/>
    </xf>
    <xf numFmtId="0" fontId="83" fillId="20" borderId="13" xfId="57" applyFont="1" applyFill="1" applyBorder="1" applyAlignment="1">
      <alignment horizontal="center" vertical="center"/>
      <protection/>
    </xf>
    <xf numFmtId="41" fontId="83" fillId="20" borderId="10" xfId="57" applyNumberFormat="1" applyFont="1" applyFill="1" applyBorder="1" applyAlignment="1" applyProtection="1">
      <alignment horizontal="center" vertical="center"/>
      <protection hidden="1"/>
    </xf>
    <xf numFmtId="41" fontId="56" fillId="0" borderId="10" xfId="57" applyNumberFormat="1" applyFont="1" applyBorder="1" applyAlignment="1" applyProtection="1">
      <alignment horizontal="center" vertical="center"/>
      <protection hidden="1"/>
    </xf>
    <xf numFmtId="41" fontId="56" fillId="0" borderId="10" xfId="57" applyNumberFormat="1" applyFont="1" applyBorder="1" applyAlignment="1" applyProtection="1">
      <alignment vertical="center"/>
      <protection hidden="1"/>
    </xf>
    <xf numFmtId="41" fontId="83" fillId="20" borderId="18" xfId="57" applyNumberFormat="1" applyFont="1" applyFill="1" applyBorder="1" applyAlignment="1" applyProtection="1">
      <alignment horizontal="center" vertical="center"/>
      <protection hidden="1"/>
    </xf>
    <xf numFmtId="41" fontId="56" fillId="0" borderId="18" xfId="57" applyNumberFormat="1" applyFont="1" applyBorder="1" applyAlignment="1" applyProtection="1">
      <alignment horizontal="center" vertical="center"/>
      <protection hidden="1"/>
    </xf>
    <xf numFmtId="41" fontId="56" fillId="0" borderId="18" xfId="57" applyNumberFormat="1" applyFont="1" applyBorder="1" applyAlignment="1" applyProtection="1">
      <alignment vertical="center"/>
      <protection hidden="1"/>
    </xf>
    <xf numFmtId="41" fontId="56" fillId="24" borderId="10" xfId="57" applyNumberFormat="1" applyFont="1" applyFill="1" applyBorder="1" applyAlignment="1" applyProtection="1">
      <alignment horizontal="center" vertical="center"/>
      <protection hidden="1"/>
    </xf>
    <xf numFmtId="41" fontId="57" fillId="24" borderId="10" xfId="57" applyNumberFormat="1" applyFont="1" applyFill="1" applyBorder="1" applyAlignment="1" applyProtection="1">
      <alignment vertical="center"/>
      <protection hidden="1"/>
    </xf>
    <xf numFmtId="41" fontId="56" fillId="0" borderId="10" xfId="57" applyNumberFormat="1" applyFont="1" applyFill="1" applyBorder="1" applyAlignment="1" applyProtection="1">
      <alignment vertical="center"/>
      <protection hidden="1"/>
    </xf>
    <xf numFmtId="41" fontId="57" fillId="0" borderId="10" xfId="57" applyNumberFormat="1" applyFont="1" applyFill="1" applyBorder="1" applyAlignment="1" applyProtection="1">
      <alignment vertical="center"/>
      <protection hidden="1"/>
    </xf>
    <xf numFmtId="41" fontId="57" fillId="0" borderId="10" xfId="57" applyNumberFormat="1" applyFont="1" applyBorder="1" applyAlignment="1" applyProtection="1">
      <alignment vertical="center"/>
      <protection hidden="1"/>
    </xf>
    <xf numFmtId="41" fontId="57" fillId="0" borderId="18" xfId="57" applyNumberFormat="1" applyFont="1" applyBorder="1" applyAlignment="1" applyProtection="1">
      <alignment vertical="center"/>
      <protection hidden="1"/>
    </xf>
    <xf numFmtId="37" fontId="83" fillId="20" borderId="10" xfId="57" applyNumberFormat="1" applyFont="1" applyFill="1" applyBorder="1" applyAlignment="1" applyProtection="1">
      <alignment horizontal="center" vertical="center"/>
      <protection hidden="1"/>
    </xf>
    <xf numFmtId="41" fontId="56" fillId="0" borderId="16" xfId="57" applyNumberFormat="1" applyFont="1" applyBorder="1" applyAlignment="1" applyProtection="1">
      <alignment vertical="center"/>
      <protection hidden="1"/>
    </xf>
    <xf numFmtId="49" fontId="56" fillId="0" borderId="10" xfId="0" applyNumberFormat="1" applyFont="1" applyBorder="1" applyAlignment="1">
      <alignment horizontal="center" vertical="center"/>
    </xf>
    <xf numFmtId="49" fontId="56" fillId="0" borderId="18" xfId="0" applyNumberFormat="1" applyFont="1" applyBorder="1" applyAlignment="1">
      <alignment horizontal="center" vertical="center"/>
    </xf>
    <xf numFmtId="37" fontId="83" fillId="20" borderId="18" xfId="57" applyNumberFormat="1" applyFont="1" applyFill="1" applyBorder="1" applyAlignment="1" applyProtection="1">
      <alignment horizontal="center" vertical="center"/>
      <protection hidden="1"/>
    </xf>
    <xf numFmtId="41" fontId="56" fillId="0" borderId="21" xfId="57" applyNumberFormat="1" applyFont="1" applyBorder="1" applyAlignment="1" applyProtection="1">
      <alignment vertical="center"/>
      <protection hidden="1"/>
    </xf>
    <xf numFmtId="49" fontId="83" fillId="0" borderId="10" xfId="57" applyNumberFormat="1" applyFont="1" applyBorder="1" applyAlignment="1">
      <alignment horizontal="center" vertical="center"/>
      <protection/>
    </xf>
    <xf numFmtId="49" fontId="83" fillId="24" borderId="10" xfId="57" applyNumberFormat="1" applyFont="1" applyFill="1" applyBorder="1" applyAlignment="1">
      <alignment horizontal="left" vertical="center"/>
      <protection/>
    </xf>
    <xf numFmtId="49" fontId="83" fillId="20" borderId="13" xfId="57" applyNumberFormat="1" applyFont="1" applyFill="1" applyBorder="1" applyAlignment="1">
      <alignment horizontal="center" vertical="center"/>
      <protection/>
    </xf>
    <xf numFmtId="49" fontId="83" fillId="20" borderId="10" xfId="57" applyNumberFormat="1" applyFont="1" applyFill="1" applyBorder="1" applyAlignment="1">
      <alignment horizontal="left" vertical="center"/>
      <protection/>
    </xf>
    <xf numFmtId="41" fontId="83" fillId="20" borderId="10" xfId="57" applyNumberFormat="1" applyFont="1" applyFill="1" applyBorder="1" applyAlignment="1" applyProtection="1">
      <alignment horizontal="right" vertical="center"/>
      <protection hidden="1"/>
    </xf>
    <xf numFmtId="41" fontId="86" fillId="24" borderId="10" xfId="57" applyNumberFormat="1" applyFont="1" applyFill="1" applyBorder="1" applyAlignment="1" applyProtection="1">
      <alignment horizontal="center" vertical="center"/>
      <protection hidden="1"/>
    </xf>
    <xf numFmtId="41" fontId="87" fillId="20" borderId="10" xfId="57" applyNumberFormat="1" applyFont="1" applyFill="1" applyBorder="1" applyAlignment="1" applyProtection="1">
      <alignment horizontal="center" vertical="center"/>
      <protection hidden="1"/>
    </xf>
    <xf numFmtId="41" fontId="56" fillId="20" borderId="10" xfId="57" applyNumberFormat="1" applyFont="1" applyFill="1" applyBorder="1" applyAlignment="1" applyProtection="1">
      <alignment horizontal="center" vertical="center"/>
      <protection hidden="1"/>
    </xf>
    <xf numFmtId="41" fontId="86" fillId="20" borderId="10" xfId="57" applyNumberFormat="1" applyFont="1" applyFill="1" applyBorder="1" applyAlignment="1" applyProtection="1">
      <alignment horizontal="center" vertical="center"/>
      <protection hidden="1"/>
    </xf>
    <xf numFmtId="41" fontId="57" fillId="0" borderId="10" xfId="57" applyNumberFormat="1" applyFont="1" applyBorder="1" applyAlignment="1" applyProtection="1">
      <alignment horizontal="center" vertical="center"/>
      <protection hidden="1"/>
    </xf>
    <xf numFmtId="41" fontId="56" fillId="24" borderId="15" xfId="57" applyNumberFormat="1" applyFont="1" applyFill="1" applyBorder="1" applyAlignment="1" applyProtection="1">
      <alignment horizontal="center" vertical="center"/>
      <protection hidden="1"/>
    </xf>
    <xf numFmtId="41" fontId="56" fillId="20" borderId="18" xfId="57" applyNumberFormat="1" applyFont="1" applyFill="1" applyBorder="1" applyAlignment="1" applyProtection="1">
      <alignment horizontal="center" vertical="center"/>
      <protection hidden="1"/>
    </xf>
    <xf numFmtId="41" fontId="56" fillId="24" borderId="23" xfId="57" applyNumberFormat="1" applyFont="1" applyFill="1" applyBorder="1" applyAlignment="1" applyProtection="1">
      <alignment horizontal="center" vertical="center"/>
      <protection hidden="1"/>
    </xf>
    <xf numFmtId="41" fontId="86" fillId="24" borderId="18" xfId="57" applyNumberFormat="1" applyFont="1" applyFill="1" applyBorder="1" applyAlignment="1" applyProtection="1">
      <alignment horizontal="center" vertical="center"/>
      <protection hidden="1"/>
    </xf>
    <xf numFmtId="41" fontId="86" fillId="20" borderId="18" xfId="57" applyNumberFormat="1" applyFont="1" applyFill="1" applyBorder="1" applyAlignment="1" applyProtection="1">
      <alignment horizontal="center" vertical="center"/>
      <protection hidden="1"/>
    </xf>
    <xf numFmtId="41" fontId="57" fillId="0" borderId="18" xfId="57" applyNumberFormat="1" applyFont="1" applyBorder="1" applyAlignment="1" applyProtection="1">
      <alignment horizontal="center" vertical="center"/>
      <protection hidden="1"/>
    </xf>
    <xf numFmtId="49" fontId="83" fillId="0" borderId="10" xfId="57" applyNumberFormat="1" applyFont="1" applyBorder="1" applyAlignment="1">
      <alignment horizontal="center"/>
      <protection/>
    </xf>
    <xf numFmtId="49" fontId="83" fillId="24" borderId="10" xfId="57" applyNumberFormat="1" applyFont="1" applyFill="1" applyBorder="1" applyAlignment="1">
      <alignment horizontal="left"/>
      <protection/>
    </xf>
    <xf numFmtId="41" fontId="83" fillId="20" borderId="19" xfId="57" applyNumberFormat="1" applyFont="1" applyFill="1" applyBorder="1" applyAlignment="1" applyProtection="1">
      <alignment horizontal="center" vertical="center" wrapText="1"/>
      <protection hidden="1"/>
    </xf>
    <xf numFmtId="41" fontId="56" fillId="24" borderId="10" xfId="57" applyNumberFormat="1" applyFont="1" applyFill="1" applyBorder="1" applyAlignment="1" applyProtection="1">
      <alignment horizontal="left" vertical="center"/>
      <protection hidden="1"/>
    </xf>
    <xf numFmtId="41" fontId="83" fillId="20" borderId="13" xfId="57" applyNumberFormat="1" applyFont="1" applyFill="1" applyBorder="1" applyAlignment="1" applyProtection="1">
      <alignment horizontal="center" vertical="center"/>
      <protection hidden="1"/>
    </xf>
    <xf numFmtId="41" fontId="56" fillId="24" borderId="10" xfId="57" applyNumberFormat="1" applyFont="1" applyFill="1" applyBorder="1" applyAlignment="1" applyProtection="1">
      <alignment vertical="center"/>
      <protection hidden="1"/>
    </xf>
    <xf numFmtId="49" fontId="83" fillId="20" borderId="13" xfId="57" applyNumberFormat="1" applyFont="1" applyFill="1" applyBorder="1" applyAlignment="1">
      <alignment horizontal="center"/>
      <protection/>
    </xf>
    <xf numFmtId="49" fontId="83" fillId="20" borderId="10" xfId="57" applyNumberFormat="1" applyFont="1" applyFill="1" applyBorder="1" applyAlignment="1">
      <alignment horizontal="left"/>
      <protection/>
    </xf>
    <xf numFmtId="41" fontId="56" fillId="20" borderId="19" xfId="57" applyNumberFormat="1" applyFont="1" applyFill="1" applyBorder="1" applyAlignment="1" applyProtection="1">
      <alignment horizontal="center" vertical="center" wrapText="1"/>
      <protection hidden="1"/>
    </xf>
    <xf numFmtId="41" fontId="56" fillId="20" borderId="13" xfId="57" applyNumberFormat="1" applyFont="1" applyFill="1" applyBorder="1" applyAlignment="1" applyProtection="1">
      <alignment horizontal="center" vertical="center"/>
      <protection hidden="1"/>
    </xf>
    <xf numFmtId="41" fontId="56" fillId="24" borderId="15" xfId="57" applyNumberFormat="1" applyFont="1" applyFill="1" applyBorder="1" applyAlignment="1" applyProtection="1">
      <alignment horizontal="left" vertical="center"/>
      <protection hidden="1"/>
    </xf>
    <xf numFmtId="41" fontId="56" fillId="20" borderId="18" xfId="57" applyNumberFormat="1" applyFont="1" applyFill="1" applyBorder="1" applyAlignment="1" applyProtection="1">
      <alignment horizontal="center" vertical="center" wrapText="1"/>
      <protection hidden="1"/>
    </xf>
    <xf numFmtId="41" fontId="56" fillId="24" borderId="23" xfId="57" applyNumberFormat="1" applyFont="1" applyFill="1" applyBorder="1" applyAlignment="1" applyProtection="1">
      <alignment horizontal="left" vertical="center"/>
      <protection hidden="1"/>
    </xf>
    <xf numFmtId="41" fontId="56" fillId="24" borderId="18" xfId="57" applyNumberFormat="1" applyFont="1" applyFill="1" applyBorder="1" applyAlignment="1" applyProtection="1">
      <alignment vertical="center"/>
      <protection hidden="1"/>
    </xf>
    <xf numFmtId="41" fontId="56" fillId="20" borderId="24" xfId="57" applyNumberFormat="1" applyFont="1" applyFill="1" applyBorder="1" applyAlignment="1" applyProtection="1">
      <alignment horizontal="center" vertical="center"/>
      <protection hidden="1"/>
    </xf>
    <xf numFmtId="0" fontId="84" fillId="0" borderId="10" xfId="0" applyNumberFormat="1" applyFont="1" applyBorder="1" applyAlignment="1">
      <alignment horizontal="center"/>
    </xf>
    <xf numFmtId="49" fontId="83" fillId="0" borderId="10" xfId="0" applyNumberFormat="1" applyFont="1" applyFill="1" applyBorder="1" applyAlignment="1">
      <alignment horizontal="left" vertical="center"/>
    </xf>
    <xf numFmtId="41" fontId="83" fillId="20" borderId="10" xfId="0" applyNumberFormat="1" applyFont="1" applyFill="1" applyBorder="1" applyAlignment="1" applyProtection="1">
      <alignment horizontal="center"/>
      <protection hidden="1"/>
    </xf>
    <xf numFmtId="41" fontId="56" fillId="0" borderId="10" xfId="0" applyNumberFormat="1" applyFont="1" applyFill="1" applyBorder="1" applyAlignment="1" applyProtection="1">
      <alignment horizontal="center"/>
      <protection hidden="1"/>
    </xf>
    <xf numFmtId="0" fontId="55" fillId="0" borderId="10" xfId="0" applyNumberFormat="1" applyFont="1" applyBorder="1" applyAlignment="1">
      <alignment horizontal="center"/>
    </xf>
    <xf numFmtId="0" fontId="55" fillId="0" borderId="18" xfId="0" applyNumberFormat="1" applyFont="1" applyBorder="1" applyAlignment="1">
      <alignment horizontal="center"/>
    </xf>
    <xf numFmtId="41" fontId="83" fillId="20" borderId="18" xfId="0" applyNumberFormat="1" applyFont="1" applyFill="1" applyBorder="1" applyAlignment="1" applyProtection="1">
      <alignment horizontal="center"/>
      <protection hidden="1"/>
    </xf>
    <xf numFmtId="41" fontId="56" fillId="0" borderId="18" xfId="0" applyNumberFormat="1" applyFont="1" applyFill="1" applyBorder="1" applyAlignment="1" applyProtection="1">
      <alignment horizontal="center"/>
      <protection hidden="1"/>
    </xf>
    <xf numFmtId="41" fontId="56" fillId="0" borderId="10" xfId="0" applyNumberFormat="1" applyFont="1" applyFill="1" applyBorder="1" applyAlignment="1" applyProtection="1">
      <alignment horizontal="center" vertical="center" wrapText="1"/>
      <protection hidden="1"/>
    </xf>
    <xf numFmtId="41" fontId="83" fillId="20" borderId="10" xfId="0" applyNumberFormat="1" applyFont="1" applyFill="1" applyBorder="1" applyAlignment="1" applyProtection="1">
      <alignment horizontal="center" vertical="center" wrapText="1"/>
      <protection hidden="1"/>
    </xf>
    <xf numFmtId="41" fontId="56" fillId="20" borderId="10" xfId="0" applyNumberFormat="1" applyFont="1" applyFill="1" applyBorder="1" applyAlignment="1" applyProtection="1">
      <alignment horizontal="center" vertical="center" wrapText="1"/>
      <protection hidden="1"/>
    </xf>
    <xf numFmtId="41" fontId="56" fillId="0" borderId="10" xfId="0" applyNumberFormat="1" applyFont="1" applyFill="1" applyBorder="1" applyAlignment="1" applyProtection="1">
      <alignment/>
      <protection hidden="1"/>
    </xf>
    <xf numFmtId="41" fontId="56" fillId="0" borderId="18" xfId="0" applyNumberFormat="1" applyFont="1" applyFill="1" applyBorder="1" applyAlignment="1" applyProtection="1">
      <alignment horizontal="center" vertical="center" wrapText="1"/>
      <protection hidden="1"/>
    </xf>
    <xf numFmtId="41" fontId="83" fillId="20" borderId="18" xfId="0" applyNumberFormat="1" applyFont="1" applyFill="1" applyBorder="1" applyAlignment="1" applyProtection="1">
      <alignment horizontal="center" vertical="center" wrapText="1"/>
      <protection hidden="1"/>
    </xf>
    <xf numFmtId="41" fontId="56" fillId="0" borderId="18" xfId="0" applyNumberFormat="1" applyFont="1" applyFill="1" applyBorder="1" applyAlignment="1" applyProtection="1">
      <alignment/>
      <protection hidden="1"/>
    </xf>
    <xf numFmtId="0" fontId="22" fillId="0" borderId="20" xfId="0" applyNumberFormat="1" applyFont="1" applyFill="1" applyBorder="1" applyAlignment="1">
      <alignment wrapText="1"/>
    </xf>
    <xf numFmtId="0" fontId="22" fillId="0" borderId="0" xfId="0" applyNumberFormat="1" applyFont="1" applyFill="1" applyBorder="1" applyAlignment="1">
      <alignment wrapText="1"/>
    </xf>
    <xf numFmtId="0" fontId="21" fillId="0" borderId="0" xfId="0" applyNumberFormat="1" applyFont="1" applyFill="1" applyAlignment="1">
      <alignment/>
    </xf>
    <xf numFmtId="49" fontId="83" fillId="24" borderId="10" xfId="0" applyNumberFormat="1" applyFont="1" applyFill="1" applyBorder="1" applyAlignment="1">
      <alignment horizontal="left" vertical="center"/>
    </xf>
    <xf numFmtId="41" fontId="83" fillId="20" borderId="10" xfId="0" applyNumberFormat="1" applyFont="1" applyFill="1" applyBorder="1" applyAlignment="1" applyProtection="1">
      <alignment horizontal="center" vertical="center"/>
      <protection hidden="1"/>
    </xf>
    <xf numFmtId="41" fontId="83" fillId="25" borderId="10" xfId="0" applyNumberFormat="1" applyFont="1" applyFill="1" applyBorder="1" applyAlignment="1" applyProtection="1">
      <alignment horizontal="center" vertical="center"/>
      <protection hidden="1"/>
    </xf>
    <xf numFmtId="41" fontId="83" fillId="8" borderId="10" xfId="0" applyNumberFormat="1" applyFont="1" applyFill="1" applyBorder="1" applyAlignment="1" applyProtection="1">
      <alignment horizontal="center" vertical="center"/>
      <protection hidden="1"/>
    </xf>
    <xf numFmtId="41" fontId="56" fillId="0" borderId="10" xfId="42" applyNumberFormat="1" applyFont="1" applyBorder="1" applyAlignment="1" applyProtection="1">
      <alignment horizontal="center" vertical="center"/>
      <protection hidden="1"/>
    </xf>
    <xf numFmtId="0" fontId="55" fillId="0" borderId="10" xfId="42" applyNumberFormat="1" applyFont="1" applyBorder="1" applyAlignment="1" applyProtection="1">
      <alignment horizontal="center" vertical="center"/>
      <protection hidden="1"/>
    </xf>
    <xf numFmtId="3" fontId="55" fillId="0" borderId="10" xfId="42" applyNumberFormat="1" applyFont="1" applyBorder="1" applyAlignment="1" applyProtection="1">
      <alignment horizontal="center" vertical="center"/>
      <protection hidden="1"/>
    </xf>
    <xf numFmtId="41" fontId="55" fillId="0" borderId="10" xfId="42" applyNumberFormat="1" applyFont="1" applyBorder="1" applyAlignment="1" applyProtection="1">
      <alignment horizontal="center" vertical="center"/>
      <protection hidden="1"/>
    </xf>
    <xf numFmtId="41" fontId="83" fillId="20" borderId="18" xfId="0" applyNumberFormat="1" applyFont="1" applyFill="1" applyBorder="1" applyAlignment="1" applyProtection="1">
      <alignment horizontal="center" vertical="center"/>
      <protection hidden="1"/>
    </xf>
    <xf numFmtId="41" fontId="83" fillId="25" borderId="18" xfId="0" applyNumberFormat="1" applyFont="1" applyFill="1" applyBorder="1" applyAlignment="1" applyProtection="1">
      <alignment horizontal="center" vertical="center"/>
      <protection hidden="1"/>
    </xf>
    <xf numFmtId="41" fontId="83" fillId="8" borderId="18" xfId="0" applyNumberFormat="1" applyFont="1" applyFill="1" applyBorder="1" applyAlignment="1" applyProtection="1">
      <alignment horizontal="center" vertical="center"/>
      <protection hidden="1"/>
    </xf>
    <xf numFmtId="41" fontId="56" fillId="0" borderId="18" xfId="42" applyNumberFormat="1" applyFont="1" applyBorder="1" applyAlignment="1" applyProtection="1">
      <alignment horizontal="center" vertical="center"/>
      <protection hidden="1"/>
    </xf>
    <xf numFmtId="0" fontId="14" fillId="20" borderId="13" xfId="0" applyNumberFormat="1" applyFont="1" applyFill="1" applyBorder="1" applyAlignment="1">
      <alignment horizontal="center"/>
    </xf>
    <xf numFmtId="49" fontId="83" fillId="20" borderId="10" xfId="0" applyNumberFormat="1" applyFont="1" applyFill="1" applyBorder="1" applyAlignment="1">
      <alignment horizontal="left" vertical="center"/>
    </xf>
    <xf numFmtId="0" fontId="84" fillId="20" borderId="13" xfId="0" applyNumberFormat="1" applyFont="1" applyFill="1" applyBorder="1" applyAlignment="1">
      <alignment horizontal="center"/>
    </xf>
    <xf numFmtId="49" fontId="88" fillId="20" borderId="10" xfId="0" applyNumberFormat="1" applyFont="1" applyFill="1" applyBorder="1" applyAlignment="1">
      <alignment horizontal="left" vertical="center"/>
    </xf>
    <xf numFmtId="0" fontId="31" fillId="0" borderId="0" xfId="0" applyNumberFormat="1" applyFont="1" applyBorder="1" applyAlignment="1">
      <alignment wrapText="1"/>
    </xf>
    <xf numFmtId="3" fontId="56" fillId="25" borderId="0" xfId="0" applyNumberFormat="1" applyFont="1" applyFill="1" applyBorder="1" applyAlignment="1">
      <alignment horizontal="center"/>
    </xf>
    <xf numFmtId="3" fontId="56" fillId="24" borderId="0" xfId="0" applyNumberFormat="1" applyFont="1" applyFill="1" applyBorder="1" applyAlignment="1">
      <alignment horizontal="center"/>
    </xf>
    <xf numFmtId="3" fontId="56" fillId="20" borderId="0" xfId="0" applyNumberFormat="1" applyFont="1" applyFill="1" applyBorder="1" applyAlignment="1">
      <alignment horizontal="center"/>
    </xf>
    <xf numFmtId="41" fontId="55" fillId="24" borderId="13" xfId="0" applyNumberFormat="1" applyFont="1" applyFill="1" applyBorder="1" applyAlignment="1">
      <alignment vertical="center"/>
    </xf>
    <xf numFmtId="0" fontId="13" fillId="0" borderId="10" xfId="0" applyFont="1" applyBorder="1" applyAlignment="1">
      <alignment horizontal="left" vertical="center"/>
    </xf>
    <xf numFmtId="41" fontId="13" fillId="24" borderId="10" xfId="0" applyNumberFormat="1" applyFont="1" applyFill="1" applyBorder="1" applyAlignment="1" applyProtection="1">
      <alignment horizontal="center" vertical="center"/>
      <protection/>
    </xf>
    <xf numFmtId="41" fontId="13" fillId="25" borderId="10" xfId="0" applyNumberFormat="1" applyFont="1" applyFill="1" applyBorder="1" applyAlignment="1" applyProtection="1">
      <alignment horizontal="center" vertical="center"/>
      <protection/>
    </xf>
    <xf numFmtId="41" fontId="13" fillId="24" borderId="10" xfId="60" applyNumberFormat="1" applyFont="1" applyFill="1" applyBorder="1" applyAlignment="1" applyProtection="1">
      <alignment horizontal="center" vertical="center"/>
      <protection/>
    </xf>
    <xf numFmtId="41" fontId="14" fillId="20" borderId="10" xfId="0" applyNumberFormat="1" applyFont="1" applyFill="1" applyBorder="1" applyAlignment="1">
      <alignment horizontal="center"/>
    </xf>
    <xf numFmtId="41" fontId="14" fillId="5" borderId="10" xfId="0" applyNumberFormat="1" applyFont="1" applyFill="1" applyBorder="1" applyAlignment="1">
      <alignment horizontal="center" vertical="center"/>
    </xf>
    <xf numFmtId="4" fontId="68" fillId="24" borderId="10" xfId="0" applyNumberFormat="1" applyFont="1" applyFill="1" applyBorder="1" applyAlignment="1" applyProtection="1">
      <alignment horizontal="center" vertical="center"/>
      <protection/>
    </xf>
    <xf numFmtId="0" fontId="13" fillId="0" borderId="10" xfId="0" applyFont="1" applyFill="1" applyBorder="1" applyAlignment="1">
      <alignment horizontal="left" vertical="center"/>
    </xf>
    <xf numFmtId="0" fontId="13" fillId="0" borderId="18" xfId="0" applyFont="1" applyBorder="1" applyAlignment="1">
      <alignment horizontal="left" vertical="center"/>
    </xf>
    <xf numFmtId="41" fontId="14" fillId="20" borderId="18" xfId="0" applyNumberFormat="1" applyFont="1" applyFill="1" applyBorder="1" applyAlignment="1" applyProtection="1">
      <alignment horizontal="center" vertical="center"/>
      <protection/>
    </xf>
    <xf numFmtId="41" fontId="13" fillId="24" borderId="18" xfId="0" applyNumberFormat="1" applyFont="1" applyFill="1" applyBorder="1" applyAlignment="1" applyProtection="1">
      <alignment horizontal="center" vertical="center"/>
      <protection/>
    </xf>
    <xf numFmtId="41" fontId="13" fillId="25" borderId="18" xfId="0" applyNumberFormat="1" applyFont="1" applyFill="1" applyBorder="1" applyAlignment="1" applyProtection="1">
      <alignment horizontal="center" vertical="center"/>
      <protection/>
    </xf>
    <xf numFmtId="41" fontId="13" fillId="24" borderId="18" xfId="60" applyNumberFormat="1" applyFont="1" applyFill="1" applyBorder="1" applyAlignment="1" applyProtection="1">
      <alignment horizontal="center" vertical="center"/>
      <protection/>
    </xf>
    <xf numFmtId="41" fontId="14" fillId="20" borderId="18" xfId="0" applyNumberFormat="1" applyFont="1" applyFill="1" applyBorder="1" applyAlignment="1">
      <alignment horizontal="center"/>
    </xf>
    <xf numFmtId="41" fontId="14" fillId="5" borderId="18" xfId="0" applyNumberFormat="1" applyFont="1" applyFill="1" applyBorder="1" applyAlignment="1">
      <alignment horizontal="center" vertical="center"/>
    </xf>
    <xf numFmtId="4" fontId="68" fillId="24" borderId="18" xfId="0" applyNumberFormat="1" applyFont="1" applyFill="1" applyBorder="1" applyAlignment="1" applyProtection="1">
      <alignment horizontal="center" vertical="center"/>
      <protection/>
    </xf>
    <xf numFmtId="41" fontId="13" fillId="20" borderId="10" xfId="0" applyNumberFormat="1" applyFont="1" applyFill="1" applyBorder="1" applyAlignment="1" applyProtection="1">
      <alignment horizontal="center" vertical="center"/>
      <protection/>
    </xf>
    <xf numFmtId="41" fontId="13" fillId="24" borderId="10" xfId="0" applyNumberFormat="1" applyFont="1" applyFill="1" applyBorder="1" applyAlignment="1" applyProtection="1">
      <alignment horizontal="center" vertical="center"/>
      <protection/>
    </xf>
    <xf numFmtId="41" fontId="13" fillId="25" borderId="10" xfId="0" applyNumberFormat="1" applyFont="1" applyFill="1" applyBorder="1" applyAlignment="1" applyProtection="1">
      <alignment horizontal="center" vertical="center"/>
      <protection/>
    </xf>
    <xf numFmtId="41" fontId="13" fillId="24" borderId="10" xfId="60" applyNumberFormat="1" applyFont="1" applyFill="1" applyBorder="1" applyAlignment="1" applyProtection="1">
      <alignment horizontal="center" vertical="center"/>
      <protection/>
    </xf>
    <xf numFmtId="41" fontId="14" fillId="20" borderId="10" xfId="0" applyNumberFormat="1" applyFont="1" applyFill="1" applyBorder="1" applyAlignment="1">
      <alignment horizontal="center"/>
    </xf>
    <xf numFmtId="41" fontId="14" fillId="5" borderId="13" xfId="0" applyNumberFormat="1" applyFont="1" applyFill="1" applyBorder="1" applyAlignment="1">
      <alignment horizontal="center" vertical="center"/>
    </xf>
    <xf numFmtId="0" fontId="13" fillId="0" borderId="18" xfId="0" applyNumberFormat="1" applyFont="1" applyBorder="1" applyAlignment="1">
      <alignment vertical="center"/>
    </xf>
    <xf numFmtId="41" fontId="13" fillId="20" borderId="18" xfId="0" applyNumberFormat="1" applyFont="1" applyFill="1" applyBorder="1" applyAlignment="1" applyProtection="1">
      <alignment horizontal="center" vertical="center"/>
      <protection/>
    </xf>
    <xf numFmtId="41" fontId="13" fillId="24" borderId="18" xfId="0" applyNumberFormat="1" applyFont="1" applyFill="1" applyBorder="1" applyAlignment="1" applyProtection="1">
      <alignment horizontal="center" vertical="center"/>
      <protection/>
    </xf>
    <xf numFmtId="41" fontId="13" fillId="25" borderId="18" xfId="0" applyNumberFormat="1" applyFont="1" applyFill="1" applyBorder="1" applyAlignment="1" applyProtection="1">
      <alignment horizontal="center" vertical="center"/>
      <protection/>
    </xf>
    <xf numFmtId="41" fontId="13" fillId="24" borderId="18" xfId="60" applyNumberFormat="1" applyFont="1" applyFill="1" applyBorder="1" applyAlignment="1" applyProtection="1">
      <alignment horizontal="center" vertical="center"/>
      <protection/>
    </xf>
    <xf numFmtId="41" fontId="14" fillId="20" borderId="18" xfId="0" applyNumberFormat="1" applyFont="1" applyFill="1" applyBorder="1" applyAlignment="1">
      <alignment horizontal="center"/>
    </xf>
    <xf numFmtId="0" fontId="13" fillId="0" borderId="15" xfId="0" applyFont="1" applyBorder="1" applyAlignment="1">
      <alignment horizontal="left" vertical="center"/>
    </xf>
    <xf numFmtId="41" fontId="14" fillId="20" borderId="10" xfId="0" applyNumberFormat="1" applyFont="1" applyFill="1" applyBorder="1" applyAlignment="1">
      <alignment horizontal="center" vertical="center"/>
    </xf>
    <xf numFmtId="0" fontId="13" fillId="0" borderId="24" xfId="0" applyFont="1" applyBorder="1" applyAlignment="1">
      <alignment horizontal="left" vertical="center"/>
    </xf>
    <xf numFmtId="41" fontId="14" fillId="20" borderId="18" xfId="0" applyNumberFormat="1" applyFont="1" applyFill="1" applyBorder="1" applyAlignment="1">
      <alignment horizontal="center" vertical="center"/>
    </xf>
    <xf numFmtId="0" fontId="13" fillId="24" borderId="19" xfId="0" applyFont="1" applyFill="1" applyBorder="1" applyAlignment="1">
      <alignment horizontal="left" vertical="center"/>
    </xf>
    <xf numFmtId="41" fontId="13" fillId="24" borderId="13" xfId="0" applyNumberFormat="1" applyFont="1" applyFill="1" applyBorder="1" applyAlignment="1" applyProtection="1">
      <alignment horizontal="center" vertical="center"/>
      <protection/>
    </xf>
    <xf numFmtId="41" fontId="13" fillId="25" borderId="13" xfId="0" applyNumberFormat="1" applyFont="1" applyFill="1" applyBorder="1" applyAlignment="1" applyProtection="1">
      <alignment horizontal="center" vertical="center"/>
      <protection/>
    </xf>
    <xf numFmtId="0" fontId="13" fillId="24" borderId="15" xfId="0" applyFont="1" applyFill="1" applyBorder="1" applyAlignment="1">
      <alignment horizontal="left" vertical="center"/>
    </xf>
    <xf numFmtId="0" fontId="13" fillId="24" borderId="11" xfId="0" applyFont="1" applyFill="1" applyBorder="1" applyAlignment="1">
      <alignment horizontal="left" vertical="center"/>
    </xf>
    <xf numFmtId="0" fontId="13" fillId="24" borderId="18" xfId="0" applyFont="1" applyFill="1" applyBorder="1" applyAlignment="1">
      <alignment horizontal="left" vertical="center"/>
    </xf>
    <xf numFmtId="41" fontId="14" fillId="20" borderId="10" xfId="0" applyNumberFormat="1" applyFont="1" applyFill="1" applyBorder="1" applyAlignment="1">
      <alignment horizontal="center" vertical="center"/>
    </xf>
    <xf numFmtId="41" fontId="14" fillId="20" borderId="18" xfId="0" applyNumberFormat="1" applyFont="1" applyFill="1" applyBorder="1" applyAlignment="1">
      <alignment horizontal="center" vertical="center"/>
    </xf>
    <xf numFmtId="0" fontId="13" fillId="0" borderId="11" xfId="0" applyFont="1" applyBorder="1" applyAlignment="1">
      <alignment horizontal="left" vertical="center"/>
    </xf>
    <xf numFmtId="0" fontId="13" fillId="24" borderId="10" xfId="0" applyFont="1" applyFill="1" applyBorder="1" applyAlignment="1">
      <alignment horizontal="left" vertical="center"/>
    </xf>
    <xf numFmtId="0" fontId="13" fillId="24" borderId="17" xfId="0" applyFont="1" applyFill="1" applyBorder="1" applyAlignment="1">
      <alignment horizontal="left" vertical="center"/>
    </xf>
    <xf numFmtId="41" fontId="13" fillId="24" borderId="11" xfId="0" applyNumberFormat="1" applyFont="1" applyFill="1" applyBorder="1" applyAlignment="1" applyProtection="1">
      <alignment horizontal="center" vertical="center"/>
      <protection/>
    </xf>
    <xf numFmtId="41" fontId="13" fillId="25" borderId="11" xfId="0" applyNumberFormat="1" applyFont="1" applyFill="1" applyBorder="1" applyAlignment="1" applyProtection="1">
      <alignment horizontal="center" vertical="center"/>
      <protection/>
    </xf>
    <xf numFmtId="41" fontId="13" fillId="24" borderId="11" xfId="60" applyNumberFormat="1" applyFont="1" applyFill="1" applyBorder="1" applyAlignment="1" applyProtection="1">
      <alignment horizontal="center" vertical="center"/>
      <protection/>
    </xf>
    <xf numFmtId="41" fontId="14" fillId="20" borderId="11" xfId="0" applyNumberFormat="1" applyFont="1" applyFill="1" applyBorder="1" applyAlignment="1">
      <alignment horizontal="center" vertical="center"/>
    </xf>
    <xf numFmtId="0" fontId="16" fillId="0" borderId="10" xfId="0" applyFont="1" applyBorder="1" applyAlignment="1">
      <alignment horizontal="left" vertical="center"/>
    </xf>
    <xf numFmtId="3" fontId="69" fillId="24" borderId="10" xfId="0" applyNumberFormat="1" applyFont="1" applyFill="1" applyBorder="1" applyAlignment="1" applyProtection="1">
      <alignment horizontal="center" vertical="center"/>
      <protection/>
    </xf>
    <xf numFmtId="3" fontId="69" fillId="25" borderId="10" xfId="0" applyNumberFormat="1" applyFont="1" applyFill="1" applyBorder="1" applyAlignment="1" applyProtection="1">
      <alignment horizontal="center" vertical="center"/>
      <protection/>
    </xf>
    <xf numFmtId="3" fontId="69" fillId="24" borderId="10" xfId="60" applyNumberFormat="1" applyFont="1" applyFill="1" applyBorder="1" applyAlignment="1" applyProtection="1">
      <alignment horizontal="center" vertical="center"/>
      <protection/>
    </xf>
    <xf numFmtId="3" fontId="69" fillId="20" borderId="10" xfId="0" applyNumberFormat="1" applyFont="1" applyFill="1" applyBorder="1" applyAlignment="1">
      <alignment horizontal="center"/>
    </xf>
    <xf numFmtId="3" fontId="69" fillId="5" borderId="10" xfId="0" applyNumberFormat="1" applyFont="1" applyFill="1" applyBorder="1" applyAlignment="1">
      <alignment horizontal="center" vertical="center"/>
    </xf>
    <xf numFmtId="4" fontId="70" fillId="24" borderId="10" xfId="0" applyNumberFormat="1" applyFont="1" applyFill="1" applyBorder="1" applyAlignment="1">
      <alignment horizontal="center" vertical="center"/>
    </xf>
    <xf numFmtId="0" fontId="16" fillId="0" borderId="10" xfId="0" applyFont="1" applyFill="1" applyBorder="1" applyAlignment="1">
      <alignment horizontal="left" vertical="center"/>
    </xf>
    <xf numFmtId="0" fontId="16" fillId="0" borderId="18" xfId="0" applyFont="1" applyBorder="1" applyAlignment="1">
      <alignment horizontal="left" vertical="center"/>
    </xf>
    <xf numFmtId="3" fontId="69" fillId="20" borderId="18" xfId="0" applyNumberFormat="1" applyFont="1" applyFill="1" applyBorder="1" applyAlignment="1" applyProtection="1">
      <alignment horizontal="center" vertical="center"/>
      <protection/>
    </xf>
    <xf numFmtId="3" fontId="69" fillId="24" borderId="18" xfId="0" applyNumberFormat="1" applyFont="1" applyFill="1" applyBorder="1" applyAlignment="1" applyProtection="1">
      <alignment horizontal="center" vertical="center"/>
      <protection/>
    </xf>
    <xf numFmtId="3" fontId="69" fillId="25" borderId="18" xfId="0" applyNumberFormat="1" applyFont="1" applyFill="1" applyBorder="1" applyAlignment="1" applyProtection="1">
      <alignment horizontal="center" vertical="center"/>
      <protection/>
    </xf>
    <xf numFmtId="3" fontId="69" fillId="24" borderId="18" xfId="60" applyNumberFormat="1" applyFont="1" applyFill="1" applyBorder="1" applyAlignment="1" applyProtection="1">
      <alignment horizontal="center" vertical="center"/>
      <protection/>
    </xf>
    <xf numFmtId="3" fontId="69" fillId="20" borderId="18" xfId="0" applyNumberFormat="1" applyFont="1" applyFill="1" applyBorder="1" applyAlignment="1">
      <alignment horizontal="center"/>
    </xf>
    <xf numFmtId="3" fontId="69" fillId="5" borderId="18" xfId="0" applyNumberFormat="1" applyFont="1" applyFill="1" applyBorder="1" applyAlignment="1">
      <alignment horizontal="center" vertical="center"/>
    </xf>
    <xf numFmtId="4" fontId="70" fillId="24" borderId="18" xfId="0" applyNumberFormat="1" applyFont="1" applyFill="1" applyBorder="1" applyAlignment="1">
      <alignment horizontal="center" vertical="center"/>
    </xf>
    <xf numFmtId="3" fontId="69" fillId="24" borderId="10" xfId="0" applyNumberFormat="1" applyFont="1" applyFill="1" applyBorder="1" applyAlignment="1" applyProtection="1">
      <alignment horizontal="center" vertical="center"/>
      <protection/>
    </xf>
    <xf numFmtId="3" fontId="69" fillId="25" borderId="10" xfId="0" applyNumberFormat="1" applyFont="1" applyFill="1" applyBorder="1" applyAlignment="1" applyProtection="1">
      <alignment horizontal="center" vertical="center"/>
      <protection/>
    </xf>
    <xf numFmtId="3" fontId="69" fillId="24" borderId="10" xfId="60" applyNumberFormat="1" applyFont="1" applyFill="1" applyBorder="1" applyAlignment="1" applyProtection="1">
      <alignment horizontal="center" vertical="center"/>
      <protection/>
    </xf>
    <xf numFmtId="3" fontId="69" fillId="20" borderId="10" xfId="0" applyNumberFormat="1" applyFont="1" applyFill="1" applyBorder="1" applyAlignment="1">
      <alignment horizontal="center"/>
    </xf>
    <xf numFmtId="0" fontId="16" fillId="0" borderId="18" xfId="0" applyNumberFormat="1" applyFont="1" applyBorder="1" applyAlignment="1">
      <alignment vertical="center"/>
    </xf>
    <xf numFmtId="3" fontId="69" fillId="24" borderId="18" xfId="0" applyNumberFormat="1" applyFont="1" applyFill="1" applyBorder="1" applyAlignment="1" applyProtection="1">
      <alignment horizontal="center" vertical="center"/>
      <protection/>
    </xf>
    <xf numFmtId="3" fontId="69" fillId="25" borderId="18" xfId="0" applyNumberFormat="1" applyFont="1" applyFill="1" applyBorder="1" applyAlignment="1" applyProtection="1">
      <alignment horizontal="center" vertical="center"/>
      <protection/>
    </xf>
    <xf numFmtId="3" fontId="69" fillId="24" borderId="18" xfId="60" applyNumberFormat="1" applyFont="1" applyFill="1" applyBorder="1" applyAlignment="1" applyProtection="1">
      <alignment horizontal="center" vertical="center"/>
      <protection/>
    </xf>
    <xf numFmtId="3" fontId="69" fillId="20" borderId="18" xfId="0" applyNumberFormat="1" applyFont="1" applyFill="1" applyBorder="1" applyAlignment="1">
      <alignment horizontal="center"/>
    </xf>
    <xf numFmtId="0" fontId="16" fillId="0" borderId="15" xfId="0" applyFont="1" applyBorder="1" applyAlignment="1">
      <alignment horizontal="left" vertical="center"/>
    </xf>
    <xf numFmtId="0" fontId="16" fillId="0" borderId="24" xfId="0" applyFont="1" applyBorder="1" applyAlignment="1">
      <alignment horizontal="left" vertical="center"/>
    </xf>
    <xf numFmtId="0" fontId="16" fillId="24" borderId="19" xfId="0" applyFont="1" applyFill="1" applyBorder="1" applyAlignment="1">
      <alignment horizontal="left" vertical="center"/>
    </xf>
    <xf numFmtId="3" fontId="69" fillId="24" borderId="13" xfId="0" applyNumberFormat="1" applyFont="1" applyFill="1" applyBorder="1" applyAlignment="1" applyProtection="1">
      <alignment horizontal="center" vertical="center"/>
      <protection/>
    </xf>
    <xf numFmtId="3" fontId="69" fillId="25" borderId="13" xfId="0" applyNumberFormat="1" applyFont="1" applyFill="1" applyBorder="1" applyAlignment="1" applyProtection="1">
      <alignment horizontal="center" vertical="center"/>
      <protection/>
    </xf>
    <xf numFmtId="0" fontId="16" fillId="24" borderId="15" xfId="0" applyFont="1" applyFill="1" applyBorder="1" applyAlignment="1">
      <alignment horizontal="left" vertical="center"/>
    </xf>
    <xf numFmtId="0" fontId="16" fillId="24" borderId="11" xfId="0" applyFont="1" applyFill="1" applyBorder="1" applyAlignment="1">
      <alignment horizontal="left" vertical="center"/>
    </xf>
    <xf numFmtId="0" fontId="16" fillId="24" borderId="18" xfId="0" applyFont="1" applyFill="1" applyBorder="1" applyAlignment="1">
      <alignment horizontal="left" vertical="center"/>
    </xf>
    <xf numFmtId="3" fontId="69" fillId="20" borderId="18" xfId="0" applyNumberFormat="1" applyFont="1" applyFill="1" applyBorder="1" applyAlignment="1">
      <alignment horizontal="center" vertical="center"/>
    </xf>
    <xf numFmtId="0" fontId="16" fillId="0" borderId="11" xfId="0" applyFont="1" applyBorder="1" applyAlignment="1">
      <alignment horizontal="left" vertical="center"/>
    </xf>
    <xf numFmtId="0" fontId="16" fillId="24" borderId="10" xfId="0" applyFont="1" applyFill="1" applyBorder="1" applyAlignment="1">
      <alignment horizontal="left" vertical="center"/>
    </xf>
    <xf numFmtId="0" fontId="16" fillId="24" borderId="17" xfId="0" applyFont="1" applyFill="1" applyBorder="1" applyAlignment="1">
      <alignment horizontal="left" vertical="center"/>
    </xf>
    <xf numFmtId="2" fontId="79" fillId="0" borderId="0" xfId="57" applyNumberFormat="1" applyFont="1">
      <alignment/>
      <protection/>
    </xf>
    <xf numFmtId="2" fontId="0" fillId="0" borderId="0" xfId="0" applyNumberFormat="1" applyAlignment="1">
      <alignment/>
    </xf>
    <xf numFmtId="2" fontId="31" fillId="0" borderId="0" xfId="0" applyNumberFormat="1" applyFont="1" applyBorder="1" applyAlignment="1">
      <alignment horizontal="center" vertical="center"/>
    </xf>
    <xf numFmtId="2" fontId="31" fillId="0" borderId="0" xfId="0" applyNumberFormat="1" applyFont="1" applyBorder="1" applyAlignment="1">
      <alignment horizontal="left" vertical="center"/>
    </xf>
    <xf numFmtId="0" fontId="0" fillId="0" borderId="0" xfId="0" applyBorder="1" applyAlignment="1">
      <alignment horizontal="left"/>
    </xf>
    <xf numFmtId="0" fontId="0" fillId="0" borderId="0" xfId="0" applyFont="1" applyBorder="1" applyAlignment="1">
      <alignment horizontal="left"/>
    </xf>
    <xf numFmtId="0" fontId="11" fillId="0" borderId="16"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0" fontId="21" fillId="0" borderId="0" xfId="0" applyNumberFormat="1" applyFont="1" applyAlignment="1">
      <alignment horizontal="center"/>
    </xf>
    <xf numFmtId="49" fontId="15" fillId="0" borderId="27"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5" fillId="0" borderId="28" xfId="0" applyNumberFormat="1" applyFont="1" applyFill="1" applyBorder="1" applyAlignment="1">
      <alignment horizontal="center" vertical="center"/>
    </xf>
    <xf numFmtId="0" fontId="11" fillId="0" borderId="13" xfId="0" applyFont="1" applyBorder="1" applyAlignment="1">
      <alignment horizontal="center" vertical="center"/>
    </xf>
    <xf numFmtId="49" fontId="25" fillId="0" borderId="12" xfId="0" applyNumberFormat="1" applyFont="1" applyBorder="1" applyAlignment="1">
      <alignment horizontal="left"/>
    </xf>
    <xf numFmtId="0" fontId="11" fillId="0" borderId="11"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0" fillId="27" borderId="12" xfId="0" applyNumberFormat="1" applyFill="1" applyBorder="1" applyAlignment="1">
      <alignment horizontal="center" vertical="center" wrapText="1"/>
    </xf>
    <xf numFmtId="0" fontId="0" fillId="0" borderId="0" xfId="0" applyNumberFormat="1" applyAlignment="1" quotePrefix="1">
      <alignment horizontal="center" vertical="center" wrapText="1"/>
    </xf>
    <xf numFmtId="49" fontId="10"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2" fillId="0" borderId="0" xfId="0" applyNumberFormat="1" applyFont="1" applyFill="1" applyBorder="1" applyAlignment="1">
      <alignment horizontal="center" wrapText="1"/>
    </xf>
    <xf numFmtId="49" fontId="20" fillId="0" borderId="0" xfId="0" applyNumberFormat="1" applyFont="1" applyFill="1" applyAlignment="1">
      <alignment/>
    </xf>
    <xf numFmtId="49" fontId="0" fillId="0" borderId="0" xfId="0" applyNumberFormat="1" applyFont="1" applyFill="1" applyBorder="1" applyAlignment="1">
      <alignment horizontal="center" wrapText="1"/>
    </xf>
    <xf numFmtId="49" fontId="20" fillId="0" borderId="0" xfId="0" applyNumberFormat="1" applyFont="1" applyFill="1" applyAlignment="1">
      <alignment horizontal="left" wrapText="1"/>
    </xf>
    <xf numFmtId="49" fontId="14" fillId="0" borderId="16"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5" fillId="0" borderId="16" xfId="0" applyNumberFormat="1" applyFont="1" applyFill="1" applyBorder="1" applyAlignment="1">
      <alignment horizontal="center"/>
    </xf>
    <xf numFmtId="49" fontId="15" fillId="0" borderId="15" xfId="0" applyNumberFormat="1" applyFont="1" applyFill="1" applyBorder="1" applyAlignment="1">
      <alignment horizontal="center"/>
    </xf>
    <xf numFmtId="49" fontId="22" fillId="0" borderId="29" xfId="0" applyNumberFormat="1" applyFont="1" applyFill="1" applyBorder="1" applyAlignment="1">
      <alignment horizontal="center"/>
    </xf>
    <xf numFmtId="49" fontId="21" fillId="0" borderId="0" xfId="0" applyNumberFormat="1" applyFont="1" applyFill="1" applyBorder="1" applyAlignment="1">
      <alignment horizontal="center"/>
    </xf>
    <xf numFmtId="49" fontId="25" fillId="0" borderId="0" xfId="0" applyNumberFormat="1" applyFont="1" applyFill="1" applyAlignment="1">
      <alignment horizontal="center"/>
    </xf>
    <xf numFmtId="0" fontId="15" fillId="0" borderId="28"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distributed" wrapText="1"/>
    </xf>
    <xf numFmtId="0" fontId="11" fillId="0" borderId="15" xfId="0" applyFont="1" applyFill="1" applyBorder="1" applyAlignment="1">
      <alignment horizontal="center" vertical="distributed"/>
    </xf>
    <xf numFmtId="49" fontId="15" fillId="0" borderId="25"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11" fillId="0" borderId="17" xfId="0" applyFont="1" applyFill="1" applyBorder="1" applyAlignment="1">
      <alignment/>
    </xf>
    <xf numFmtId="49" fontId="15" fillId="0" borderId="16"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49" fontId="55" fillId="0" borderId="0" xfId="0" applyNumberFormat="1" applyFont="1" applyBorder="1" applyAlignment="1">
      <alignment horizontal="justify" vertical="justify" wrapText="1"/>
    </xf>
    <xf numFmtId="0" fontId="23" fillId="0" borderId="16" xfId="0" applyNumberFormat="1" applyFont="1" applyBorder="1" applyAlignment="1">
      <alignment horizontal="center" wrapText="1"/>
    </xf>
    <xf numFmtId="0" fontId="23" fillId="0" borderId="15" xfId="0" applyNumberFormat="1" applyFont="1" applyBorder="1" applyAlignment="1">
      <alignment horizontal="center" wrapText="1"/>
    </xf>
    <xf numFmtId="0" fontId="15" fillId="20" borderId="16" xfId="57" applyNumberFormat="1" applyFont="1" applyFill="1" applyBorder="1" applyAlignment="1">
      <alignment horizontal="center" wrapText="1"/>
      <protection/>
    </xf>
    <xf numFmtId="0" fontId="15" fillId="20" borderId="15" xfId="57" applyNumberFormat="1" applyFont="1" applyFill="1" applyBorder="1" applyAlignment="1">
      <alignment horizontal="center" wrapText="1"/>
      <protection/>
    </xf>
    <xf numFmtId="0" fontId="31" fillId="24" borderId="20" xfId="0" applyFont="1" applyFill="1" applyBorder="1" applyAlignment="1">
      <alignment horizontal="center" vertical="center"/>
    </xf>
    <xf numFmtId="2" fontId="21" fillId="24" borderId="0" xfId="0" applyNumberFormat="1" applyFont="1" applyFill="1" applyAlignment="1">
      <alignment horizontal="center" vertical="center"/>
    </xf>
    <xf numFmtId="0" fontId="21" fillId="24" borderId="0" xfId="0" applyFont="1" applyFill="1" applyBorder="1" applyAlignment="1">
      <alignment horizontal="center" vertical="center" wrapText="1"/>
    </xf>
    <xf numFmtId="0" fontId="21" fillId="24" borderId="0" xfId="0" applyFont="1" applyFill="1" applyBorder="1" applyAlignment="1">
      <alignment horizontal="center" vertical="center"/>
    </xf>
    <xf numFmtId="49" fontId="21" fillId="0" borderId="0" xfId="0" applyNumberFormat="1" applyFont="1" applyAlignment="1">
      <alignment horizontal="center"/>
    </xf>
    <xf numFmtId="0" fontId="29" fillId="0" borderId="0" xfId="0" applyNumberFormat="1" applyFont="1" applyAlignment="1">
      <alignment horizontal="center"/>
    </xf>
    <xf numFmtId="49" fontId="21" fillId="24" borderId="0" xfId="0" applyNumberFormat="1" applyFont="1" applyFill="1" applyAlignment="1">
      <alignment horizontal="center" vertical="center" wrapText="1"/>
    </xf>
    <xf numFmtId="49" fontId="11" fillId="24" borderId="0" xfId="0" applyNumberFormat="1" applyFont="1" applyFill="1" applyBorder="1" applyAlignment="1">
      <alignment horizontal="left"/>
    </xf>
    <xf numFmtId="2" fontId="15" fillId="0" borderId="0" xfId="0" applyNumberFormat="1" applyFont="1" applyAlignment="1">
      <alignment horizontal="left" vertical="center"/>
    </xf>
    <xf numFmtId="49" fontId="11" fillId="0" borderId="0" xfId="0" applyNumberFormat="1" applyFont="1" applyBorder="1" applyAlignment="1">
      <alignment horizontal="left"/>
    </xf>
    <xf numFmtId="0" fontId="11" fillId="0" borderId="10" xfId="0" applyNumberFormat="1" applyFont="1" applyFill="1" applyBorder="1" applyAlignment="1">
      <alignment horizontal="center" vertical="center" wrapText="1"/>
    </xf>
    <xf numFmtId="0" fontId="0" fillId="0" borderId="0" xfId="0" applyNumberFormat="1" applyFont="1" applyAlignment="1">
      <alignment horizontal="left"/>
    </xf>
    <xf numFmtId="0" fontId="11" fillId="0" borderId="0" xfId="0" applyNumberFormat="1" applyFont="1" applyAlignment="1">
      <alignment horizontal="left"/>
    </xf>
    <xf numFmtId="0" fontId="0" fillId="0" borderId="0" xfId="57" applyNumberFormat="1" applyFont="1" applyAlignment="1">
      <alignment horizontal="left"/>
      <protection/>
    </xf>
    <xf numFmtId="0" fontId="21" fillId="0" borderId="0" xfId="57" applyFont="1" applyAlignment="1">
      <alignment horizontal="center" wrapText="1"/>
      <protection/>
    </xf>
    <xf numFmtId="0" fontId="0" fillId="0" borderId="0" xfId="57" applyFont="1" applyAlignment="1">
      <alignment horizontal="left"/>
      <protection/>
    </xf>
    <xf numFmtId="0" fontId="21" fillId="0" borderId="0" xfId="57" applyNumberFormat="1" applyFont="1" applyAlignment="1">
      <alignment horizontal="center"/>
      <protection/>
    </xf>
    <xf numFmtId="2" fontId="10" fillId="0" borderId="0" xfId="57" applyNumberFormat="1" applyFont="1" applyAlignment="1">
      <alignment horizontal="left"/>
      <protection/>
    </xf>
    <xf numFmtId="49" fontId="15" fillId="0" borderId="0" xfId="57" applyNumberFormat="1" applyFont="1" applyAlignment="1">
      <alignment horizontal="left"/>
      <protection/>
    </xf>
    <xf numFmtId="0" fontId="20" fillId="0" borderId="12" xfId="57" applyFont="1" applyBorder="1" applyAlignment="1">
      <alignment horizontal="left"/>
      <protection/>
    </xf>
    <xf numFmtId="0" fontId="0" fillId="0" borderId="0" xfId="57" applyFont="1" applyBorder="1" applyAlignment="1">
      <alignment horizontal="left"/>
      <protection/>
    </xf>
    <xf numFmtId="0" fontId="29" fillId="0" borderId="0" xfId="57" applyFont="1" applyAlignment="1">
      <alignment horizontal="center"/>
      <protection/>
    </xf>
    <xf numFmtId="2" fontId="21" fillId="0" borderId="0" xfId="57" applyNumberFormat="1" applyFont="1" applyAlignment="1">
      <alignment horizontal="center"/>
      <protection/>
    </xf>
    <xf numFmtId="0" fontId="28" fillId="0" borderId="16" xfId="57" applyFont="1" applyBorder="1" applyAlignment="1">
      <alignment horizontal="center" wrapText="1"/>
      <protection/>
    </xf>
    <xf numFmtId="0" fontId="28" fillId="0" borderId="15" xfId="57" applyFont="1" applyBorder="1" applyAlignment="1">
      <alignment horizontal="center" wrapText="1"/>
      <protection/>
    </xf>
    <xf numFmtId="0" fontId="14" fillId="20" borderId="16" xfId="57" applyFont="1" applyFill="1" applyBorder="1" applyAlignment="1">
      <alignment horizontal="center" wrapText="1"/>
      <protection/>
    </xf>
    <xf numFmtId="0" fontId="14" fillId="20" borderId="15" xfId="57" applyFont="1" applyFill="1" applyBorder="1" applyAlignment="1">
      <alignment horizontal="center" wrapText="1"/>
      <protection/>
    </xf>
    <xf numFmtId="2" fontId="31" fillId="0" borderId="0" xfId="57" applyNumberFormat="1" applyFont="1" applyBorder="1" applyAlignment="1">
      <alignment horizontal="center" wrapText="1"/>
      <protection/>
    </xf>
    <xf numFmtId="2" fontId="31" fillId="0" borderId="0" xfId="57" applyNumberFormat="1" applyFont="1" applyBorder="1" applyAlignment="1">
      <alignment horizontal="center"/>
      <protection/>
    </xf>
    <xf numFmtId="2" fontId="10" fillId="0" borderId="0" xfId="57" applyNumberFormat="1" applyFont="1" applyAlignment="1">
      <alignment horizontal="center"/>
      <protection/>
    </xf>
    <xf numFmtId="2" fontId="21" fillId="0" borderId="0" xfId="57" applyNumberFormat="1" applyFont="1" applyBorder="1" applyAlignment="1">
      <alignment horizontal="center"/>
      <protection/>
    </xf>
    <xf numFmtId="49" fontId="11" fillId="0" borderId="28" xfId="57" applyNumberFormat="1" applyFont="1" applyFill="1" applyBorder="1" applyAlignment="1">
      <alignment horizontal="center" vertical="center"/>
      <protection/>
    </xf>
    <xf numFmtId="49" fontId="11" fillId="0" borderId="27" xfId="57" applyNumberFormat="1" applyFont="1" applyFill="1" applyBorder="1" applyAlignment="1">
      <alignment horizontal="center" vertical="center"/>
      <protection/>
    </xf>
    <xf numFmtId="49" fontId="11" fillId="0" borderId="14" xfId="57" applyNumberFormat="1" applyFont="1" applyFill="1" applyBorder="1" applyAlignment="1">
      <alignment horizontal="center" vertical="center"/>
      <protection/>
    </xf>
    <xf numFmtId="49" fontId="11" fillId="0" borderId="26" xfId="57" applyNumberFormat="1" applyFont="1" applyFill="1" applyBorder="1" applyAlignment="1">
      <alignment horizontal="center" vertical="center"/>
      <protection/>
    </xf>
    <xf numFmtId="49" fontId="11" fillId="0" borderId="22" xfId="57" applyNumberFormat="1" applyFont="1" applyFill="1" applyBorder="1" applyAlignment="1">
      <alignment horizontal="center" vertical="center"/>
      <protection/>
    </xf>
    <xf numFmtId="49" fontId="11" fillId="0" borderId="19" xfId="57" applyNumberFormat="1" applyFont="1" applyFill="1" applyBorder="1" applyAlignment="1">
      <alignment horizontal="center" vertical="center"/>
      <protection/>
    </xf>
    <xf numFmtId="0" fontId="11" fillId="0" borderId="10" xfId="57" applyFont="1" applyFill="1" applyBorder="1" applyAlignment="1">
      <alignment horizontal="center" vertical="center"/>
      <protection/>
    </xf>
    <xf numFmtId="0" fontId="11" fillId="0" borderId="10" xfId="57" applyFont="1" applyFill="1" applyBorder="1" applyAlignment="1">
      <alignment horizontal="center" vertical="center" wrapText="1"/>
      <protection/>
    </xf>
    <xf numFmtId="0" fontId="11" fillId="0" borderId="16" xfId="57" applyFont="1" applyFill="1" applyBorder="1" applyAlignment="1">
      <alignment horizontal="center" vertical="center" wrapText="1"/>
      <protection/>
    </xf>
    <xf numFmtId="0" fontId="11" fillId="0" borderId="15" xfId="57" applyFont="1" applyFill="1" applyBorder="1" applyAlignment="1">
      <alignment horizontal="center" vertical="center" wrapText="1"/>
      <protection/>
    </xf>
    <xf numFmtId="2" fontId="10" fillId="0" borderId="0" xfId="57" applyNumberFormat="1" applyFont="1" applyBorder="1" applyAlignment="1">
      <alignment horizontal="center" vertical="center"/>
      <protection/>
    </xf>
    <xf numFmtId="49" fontId="11" fillId="0" borderId="0" xfId="57" applyNumberFormat="1" applyFont="1" applyAlignment="1">
      <alignment horizontal="left" vertical="center"/>
      <protection/>
    </xf>
    <xf numFmtId="2" fontId="15" fillId="0" borderId="0" xfId="57" applyNumberFormat="1" applyFont="1" applyAlignment="1">
      <alignment horizontal="left" vertical="center"/>
      <protection/>
    </xf>
    <xf numFmtId="49" fontId="21" fillId="0" borderId="0" xfId="57" applyNumberFormat="1" applyFont="1" applyAlignment="1">
      <alignment horizontal="center" vertical="center" wrapText="1"/>
      <protection/>
    </xf>
    <xf numFmtId="49" fontId="13" fillId="0" borderId="28" xfId="57" applyNumberFormat="1" applyFont="1" applyFill="1" applyBorder="1" applyAlignment="1">
      <alignment horizontal="center" vertical="center" wrapText="1"/>
      <protection/>
    </xf>
    <xf numFmtId="49" fontId="13" fillId="0" borderId="27" xfId="57" applyNumberFormat="1" applyFont="1" applyFill="1" applyBorder="1" applyAlignment="1">
      <alignment horizontal="center" vertical="center" wrapText="1"/>
      <protection/>
    </xf>
    <xf numFmtId="49" fontId="13" fillId="0" borderId="14" xfId="57" applyNumberFormat="1" applyFont="1" applyFill="1" applyBorder="1" applyAlignment="1">
      <alignment horizontal="center" vertical="center" wrapText="1"/>
      <protection/>
    </xf>
    <xf numFmtId="49" fontId="13" fillId="0" borderId="26" xfId="57" applyNumberFormat="1" applyFont="1" applyFill="1" applyBorder="1" applyAlignment="1">
      <alignment horizontal="center" vertical="center" wrapText="1"/>
      <protection/>
    </xf>
    <xf numFmtId="49" fontId="13" fillId="0" borderId="22" xfId="57" applyNumberFormat="1" applyFont="1" applyFill="1" applyBorder="1" applyAlignment="1">
      <alignment horizontal="center" vertical="center" wrapText="1"/>
      <protection/>
    </xf>
    <xf numFmtId="49" fontId="13" fillId="0" borderId="19" xfId="57" applyNumberFormat="1" applyFont="1" applyFill="1" applyBorder="1" applyAlignment="1">
      <alignment horizontal="center" vertical="center" wrapText="1"/>
      <protection/>
    </xf>
    <xf numFmtId="49" fontId="13" fillId="0" borderId="16" xfId="57" applyNumberFormat="1" applyFont="1" applyFill="1" applyBorder="1" applyAlignment="1">
      <alignment horizontal="center" vertical="center" wrapText="1"/>
      <protection/>
    </xf>
    <xf numFmtId="49" fontId="13" fillId="0" borderId="15" xfId="57" applyNumberFormat="1" applyFont="1" applyFill="1" applyBorder="1" applyAlignment="1">
      <alignment horizontal="center" vertical="center" wrapText="1"/>
      <protection/>
    </xf>
    <xf numFmtId="49" fontId="13" fillId="0" borderId="25" xfId="57" applyNumberFormat="1" applyFont="1" applyFill="1" applyBorder="1" applyAlignment="1">
      <alignment horizontal="center" vertical="center" wrapText="1"/>
      <protection/>
    </xf>
    <xf numFmtId="49" fontId="13" fillId="0" borderId="11" xfId="57" applyNumberFormat="1" applyFont="1" applyFill="1" applyBorder="1" applyAlignment="1">
      <alignment horizontal="center" vertical="center" wrapText="1"/>
      <protection/>
    </xf>
    <xf numFmtId="49" fontId="13" fillId="0" borderId="17" xfId="57" applyNumberFormat="1" applyFont="1" applyFill="1" applyBorder="1" applyAlignment="1">
      <alignment horizontal="center" vertical="center" wrapText="1"/>
      <protection/>
    </xf>
    <xf numFmtId="49" fontId="13" fillId="0" borderId="13" xfId="57" applyNumberFormat="1" applyFont="1" applyFill="1" applyBorder="1" applyAlignment="1">
      <alignment horizontal="center" vertical="center" wrapText="1"/>
      <protection/>
    </xf>
    <xf numFmtId="0" fontId="13" fillId="0" borderId="25" xfId="57" applyFont="1" applyBorder="1" applyAlignment="1">
      <alignment horizontal="center" vertical="center" wrapText="1"/>
      <protection/>
    </xf>
    <xf numFmtId="0" fontId="13" fillId="0" borderId="15" xfId="57" applyFont="1" applyBorder="1" applyAlignment="1">
      <alignment horizontal="center" vertical="center" wrapText="1"/>
      <protection/>
    </xf>
    <xf numFmtId="49" fontId="13" fillId="0" borderId="10" xfId="57" applyNumberFormat="1" applyFont="1" applyFill="1" applyBorder="1" applyAlignment="1">
      <alignment horizontal="center" vertical="center" wrapText="1"/>
      <protection/>
    </xf>
    <xf numFmtId="49" fontId="29" fillId="0" borderId="12" xfId="57" applyNumberFormat="1" applyFont="1" applyBorder="1" applyAlignment="1">
      <alignment horizontal="center" vertical="center"/>
      <protection/>
    </xf>
    <xf numFmtId="49" fontId="20" fillId="0" borderId="12" xfId="57" applyNumberFormat="1" applyFont="1" applyBorder="1" applyAlignment="1">
      <alignment horizontal="left" vertical="center"/>
      <protection/>
    </xf>
    <xf numFmtId="49" fontId="26" fillId="0" borderId="16" xfId="57" applyNumberFormat="1" applyFont="1" applyBorder="1" applyAlignment="1">
      <alignment horizontal="center"/>
      <protection/>
    </xf>
    <xf numFmtId="49" fontId="26" fillId="0" borderId="15" xfId="57" applyNumberFormat="1" applyFont="1" applyBorder="1" applyAlignment="1">
      <alignment horizontal="center"/>
      <protection/>
    </xf>
    <xf numFmtId="49" fontId="14" fillId="20" borderId="16" xfId="57" applyNumberFormat="1" applyFont="1" applyFill="1" applyBorder="1" applyAlignment="1">
      <alignment horizontal="center" vertical="center"/>
      <protection/>
    </xf>
    <xf numFmtId="49" fontId="14" fillId="20" borderId="15" xfId="57" applyNumberFormat="1" applyFont="1" applyFill="1" applyBorder="1" applyAlignment="1">
      <alignment horizontal="center" vertical="center"/>
      <protection/>
    </xf>
    <xf numFmtId="2" fontId="22" fillId="0" borderId="0" xfId="57" applyNumberFormat="1" applyFont="1" applyAlignment="1">
      <alignment horizontal="center"/>
      <protection/>
    </xf>
    <xf numFmtId="2" fontId="31" fillId="0" borderId="20" xfId="57" applyNumberFormat="1" applyFont="1" applyBorder="1" applyAlignment="1">
      <alignment horizontal="center" wrapText="1"/>
      <protection/>
    </xf>
    <xf numFmtId="2" fontId="31" fillId="0" borderId="20" xfId="57" applyNumberFormat="1" applyFont="1" applyBorder="1" applyAlignment="1">
      <alignment horizontal="center"/>
      <protection/>
    </xf>
    <xf numFmtId="2" fontId="21" fillId="0" borderId="0" xfId="57" applyNumberFormat="1" applyFont="1" applyBorder="1" applyAlignment="1">
      <alignment horizontal="center" wrapText="1"/>
      <protection/>
    </xf>
    <xf numFmtId="2" fontId="23" fillId="0" borderId="0" xfId="57" applyNumberFormat="1" applyFont="1" applyAlignment="1">
      <alignment horizontal="center" vertical="center"/>
      <protection/>
    </xf>
    <xf numFmtId="49" fontId="11" fillId="0" borderId="0" xfId="57" applyNumberFormat="1" applyFont="1" applyAlignment="1">
      <alignment vertical="center"/>
      <protection/>
    </xf>
    <xf numFmtId="2" fontId="20" fillId="0" borderId="12" xfId="57" applyNumberFormat="1" applyFont="1" applyBorder="1" applyAlignment="1">
      <alignment horizontal="left" vertical="center"/>
      <protection/>
    </xf>
    <xf numFmtId="2" fontId="21" fillId="0" borderId="0" xfId="57" applyNumberFormat="1" applyFont="1" applyAlignment="1">
      <alignment horizontal="center" vertical="center" wrapText="1"/>
      <protection/>
    </xf>
    <xf numFmtId="49" fontId="11" fillId="0" borderId="0" xfId="57" applyNumberFormat="1" applyFont="1" applyBorder="1" applyAlignment="1">
      <alignment horizontal="left" vertical="center"/>
      <protection/>
    </xf>
    <xf numFmtId="2" fontId="0" fillId="0" borderId="0" xfId="57" applyNumberFormat="1" applyFont="1" applyBorder="1" applyAlignment="1">
      <alignment horizontal="left" vertical="center"/>
      <protection/>
    </xf>
    <xf numFmtId="2" fontId="10" fillId="0" borderId="0" xfId="57" applyNumberFormat="1" applyFont="1" applyAlignment="1">
      <alignment horizontal="center" vertical="center"/>
      <protection/>
    </xf>
    <xf numFmtId="49" fontId="0" fillId="0" borderId="0" xfId="57" applyNumberFormat="1" applyFont="1" applyBorder="1" applyAlignment="1">
      <alignment horizontal="left" vertical="center"/>
      <protection/>
    </xf>
    <xf numFmtId="49" fontId="13" fillId="0" borderId="11" xfId="57" applyNumberFormat="1" applyFont="1" applyBorder="1" applyAlignment="1">
      <alignment horizontal="center" vertical="center" wrapText="1"/>
      <protection/>
    </xf>
    <xf numFmtId="49" fontId="13" fillId="0" borderId="13" xfId="57" applyNumberFormat="1" applyFont="1" applyBorder="1" applyAlignment="1">
      <alignment horizontal="center" vertical="center" wrapText="1"/>
      <protection/>
    </xf>
    <xf numFmtId="49" fontId="13" fillId="0" borderId="16" xfId="57" applyNumberFormat="1" applyFont="1" applyBorder="1" applyAlignment="1">
      <alignment horizontal="center" vertical="center" wrapText="1"/>
      <protection/>
    </xf>
    <xf numFmtId="49" fontId="13" fillId="0" borderId="25" xfId="57" applyNumberFormat="1" applyFont="1" applyBorder="1" applyAlignment="1">
      <alignment horizontal="center" vertical="center" wrapText="1"/>
      <protection/>
    </xf>
    <xf numFmtId="49" fontId="13" fillId="0" borderId="15" xfId="57" applyNumberFormat="1" applyFont="1" applyBorder="1" applyAlignment="1">
      <alignment horizontal="center" vertical="center" wrapText="1"/>
      <protection/>
    </xf>
    <xf numFmtId="49" fontId="13" fillId="0" borderId="17" xfId="57" applyNumberFormat="1" applyFont="1" applyBorder="1" applyAlignment="1">
      <alignment horizontal="center" vertical="center" wrapText="1"/>
      <protection/>
    </xf>
    <xf numFmtId="49" fontId="26" fillId="0" borderId="16" xfId="57" applyNumberFormat="1" applyFont="1" applyBorder="1" applyAlignment="1">
      <alignment horizontal="center" vertical="center" wrapText="1"/>
      <protection/>
    </xf>
    <xf numFmtId="49" fontId="26" fillId="0" borderId="15" xfId="57" applyNumberFormat="1" applyFont="1" applyBorder="1" applyAlignment="1">
      <alignment horizontal="center" vertical="center" wrapText="1"/>
      <protection/>
    </xf>
    <xf numFmtId="49" fontId="13" fillId="0" borderId="28" xfId="57" applyNumberFormat="1" applyFont="1" applyFill="1" applyBorder="1" applyAlignment="1">
      <alignment horizontal="center" vertical="center"/>
      <protection/>
    </xf>
    <xf numFmtId="49" fontId="13" fillId="0" borderId="27" xfId="57" applyNumberFormat="1" applyFont="1" applyFill="1" applyBorder="1" applyAlignment="1">
      <alignment horizontal="center" vertical="center"/>
      <protection/>
    </xf>
    <xf numFmtId="49" fontId="13" fillId="0" borderId="14" xfId="57" applyNumberFormat="1" applyFont="1" applyFill="1" applyBorder="1" applyAlignment="1">
      <alignment horizontal="center" vertical="center"/>
      <protection/>
    </xf>
    <xf numFmtId="49" fontId="13" fillId="0" borderId="26" xfId="57" applyNumberFormat="1" applyFont="1" applyFill="1" applyBorder="1" applyAlignment="1">
      <alignment horizontal="center" vertical="center"/>
      <protection/>
    </xf>
    <xf numFmtId="49" fontId="13" fillId="0" borderId="22" xfId="57" applyNumberFormat="1" applyFont="1" applyFill="1" applyBorder="1" applyAlignment="1">
      <alignment horizontal="center" vertical="center"/>
      <protection/>
    </xf>
    <xf numFmtId="49" fontId="13" fillId="0" borderId="19" xfId="57" applyNumberFormat="1" applyFont="1" applyFill="1" applyBorder="1" applyAlignment="1">
      <alignment horizontal="center" vertical="center"/>
      <protection/>
    </xf>
    <xf numFmtId="49" fontId="15" fillId="20" borderId="16" xfId="57" applyNumberFormat="1" applyFont="1" applyFill="1" applyBorder="1" applyAlignment="1">
      <alignment horizontal="center" vertical="center" wrapText="1"/>
      <protection/>
    </xf>
    <xf numFmtId="49" fontId="15" fillId="20" borderId="15" xfId="57" applyNumberFormat="1" applyFont="1" applyFill="1" applyBorder="1" applyAlignment="1">
      <alignment horizontal="center" vertical="center" wrapText="1"/>
      <protection/>
    </xf>
    <xf numFmtId="49" fontId="60" fillId="24" borderId="10" xfId="57" applyNumberFormat="1" applyFont="1" applyFill="1" applyBorder="1" applyAlignment="1">
      <alignment horizontal="center" vertical="center" wrapText="1"/>
      <protection/>
    </xf>
    <xf numFmtId="49" fontId="19" fillId="20" borderId="10" xfId="57" applyNumberFormat="1" applyFont="1" applyFill="1" applyBorder="1" applyAlignment="1">
      <alignment horizontal="center" vertical="center" wrapText="1"/>
      <protection/>
    </xf>
    <xf numFmtId="2" fontId="11" fillId="24" borderId="0" xfId="57" applyNumberFormat="1" applyFont="1" applyFill="1" applyBorder="1" applyAlignment="1">
      <alignment horizontal="left" vertical="center" wrapText="1"/>
      <protection/>
    </xf>
    <xf numFmtId="49" fontId="11" fillId="0" borderId="0" xfId="57" applyNumberFormat="1" applyFont="1" applyAlignment="1">
      <alignment horizontal="left" vertical="center" wrapText="1"/>
      <protection/>
    </xf>
    <xf numFmtId="2" fontId="11" fillId="0" borderId="0" xfId="57" applyNumberFormat="1" applyFont="1" applyBorder="1" applyAlignment="1">
      <alignment horizontal="left" vertical="center" wrapText="1"/>
      <protection/>
    </xf>
    <xf numFmtId="2" fontId="10" fillId="0" borderId="0" xfId="57" applyNumberFormat="1" applyFont="1" applyAlignment="1">
      <alignment horizontal="left" vertical="center"/>
      <protection/>
    </xf>
    <xf numFmtId="2" fontId="10" fillId="24" borderId="0" xfId="57" applyNumberFormat="1" applyFont="1" applyFill="1" applyBorder="1" applyAlignment="1">
      <alignment horizontal="left" vertical="center" wrapText="1"/>
      <protection/>
    </xf>
    <xf numFmtId="2" fontId="29" fillId="0" borderId="0" xfId="57" applyNumberFormat="1" applyFont="1" applyAlignment="1">
      <alignment horizontal="center" vertical="center" wrapText="1"/>
      <protection/>
    </xf>
    <xf numFmtId="2" fontId="20" fillId="0" borderId="0" xfId="57" applyNumberFormat="1" applyFont="1" applyBorder="1" applyAlignment="1">
      <alignment horizontal="left" vertical="center"/>
      <protection/>
    </xf>
    <xf numFmtId="49" fontId="13" fillId="0" borderId="10" xfId="57" applyNumberFormat="1" applyFont="1" applyFill="1" applyBorder="1" applyAlignment="1">
      <alignment horizontal="center" vertical="center"/>
      <protection/>
    </xf>
    <xf numFmtId="2" fontId="31" fillId="0" borderId="0" xfId="57" applyNumberFormat="1" applyFont="1" applyBorder="1" applyAlignment="1">
      <alignment horizontal="center" vertical="center" wrapText="1"/>
      <protection/>
    </xf>
    <xf numFmtId="2" fontId="21" fillId="0" borderId="0" xfId="57" applyNumberFormat="1" applyFont="1" applyAlignment="1">
      <alignment horizontal="center" vertical="center"/>
      <protection/>
    </xf>
    <xf numFmtId="2" fontId="21" fillId="0" borderId="0" xfId="57" applyNumberFormat="1" applyFont="1" applyBorder="1" applyAlignment="1">
      <alignment horizontal="center" vertical="center" wrapText="1"/>
      <protection/>
    </xf>
    <xf numFmtId="2" fontId="21" fillId="0" borderId="0" xfId="57" applyNumberFormat="1" applyFont="1" applyBorder="1" applyAlignment="1">
      <alignment horizontal="center" vertical="center"/>
      <protection/>
    </xf>
    <xf numFmtId="2" fontId="22" fillId="0" borderId="0" xfId="57" applyNumberFormat="1" applyFont="1" applyAlignment="1">
      <alignment horizontal="center" vertical="center"/>
      <protection/>
    </xf>
    <xf numFmtId="2" fontId="31" fillId="0" borderId="0" xfId="57" applyNumberFormat="1" applyFont="1" applyBorder="1" applyAlignment="1">
      <alignment horizontal="center" vertical="center"/>
      <protection/>
    </xf>
    <xf numFmtId="2" fontId="11" fillId="24" borderId="0" xfId="57" applyNumberFormat="1" applyFont="1" applyFill="1" applyBorder="1" applyAlignment="1">
      <alignment horizontal="left"/>
      <protection/>
    </xf>
    <xf numFmtId="2" fontId="21" fillId="0" borderId="0" xfId="57" applyNumberFormat="1" applyFont="1" applyAlignment="1">
      <alignment horizontal="center" wrapText="1"/>
      <protection/>
    </xf>
    <xf numFmtId="2" fontId="15" fillId="0" borderId="0" xfId="57" applyNumberFormat="1" applyFont="1" applyBorder="1" applyAlignment="1">
      <alignment horizontal="left"/>
      <protection/>
    </xf>
    <xf numFmtId="2" fontId="11" fillId="0" borderId="0" xfId="57" applyNumberFormat="1" applyFont="1" applyBorder="1" applyAlignment="1">
      <alignment horizontal="left"/>
      <protection/>
    </xf>
    <xf numFmtId="2" fontId="29" fillId="0" borderId="0" xfId="57" applyNumberFormat="1" applyFont="1" applyAlignment="1">
      <alignment horizontal="center"/>
      <protection/>
    </xf>
    <xf numFmtId="2" fontId="10" fillId="0" borderId="0" xfId="57" applyNumberFormat="1" applyFont="1" applyBorder="1" applyAlignment="1">
      <alignment horizontal="left"/>
      <protection/>
    </xf>
    <xf numFmtId="0" fontId="13" fillId="0" borderId="10" xfId="57" applyFont="1" applyBorder="1" applyAlignment="1">
      <alignment horizontal="center" vertical="center" wrapText="1"/>
      <protection/>
    </xf>
    <xf numFmtId="0" fontId="13" fillId="0" borderId="10" xfId="57" applyFont="1" applyBorder="1" applyAlignment="1">
      <alignment horizontal="center" vertical="center"/>
      <protection/>
    </xf>
    <xf numFmtId="0" fontId="13" fillId="0" borderId="10" xfId="57" applyFont="1" applyFill="1" applyBorder="1" applyAlignment="1">
      <alignment horizontal="center" vertical="center" wrapText="1"/>
      <protection/>
    </xf>
    <xf numFmtId="2" fontId="20" fillId="0" borderId="12" xfId="57" applyNumberFormat="1" applyFont="1" applyBorder="1" applyAlignment="1">
      <alignment horizontal="left"/>
      <protection/>
    </xf>
    <xf numFmtId="49" fontId="13" fillId="0" borderId="29" xfId="57" applyNumberFormat="1" applyFont="1" applyFill="1" applyBorder="1" applyAlignment="1">
      <alignment horizontal="center" vertical="center"/>
      <protection/>
    </xf>
    <xf numFmtId="49" fontId="13" fillId="0" borderId="0" xfId="57" applyNumberFormat="1" applyFont="1" applyFill="1" applyBorder="1" applyAlignment="1">
      <alignment horizontal="center" vertical="center"/>
      <protection/>
    </xf>
    <xf numFmtId="49" fontId="13" fillId="0" borderId="12" xfId="57" applyNumberFormat="1" applyFont="1" applyFill="1" applyBorder="1" applyAlignment="1">
      <alignment horizontal="center" vertical="center"/>
      <protection/>
    </xf>
    <xf numFmtId="0" fontId="13" fillId="0" borderId="11" xfId="57" applyFont="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3" xfId="57" applyFont="1" applyBorder="1" applyAlignment="1">
      <alignment horizontal="center" vertical="center" wrapText="1"/>
      <protection/>
    </xf>
    <xf numFmtId="0" fontId="13" fillId="0" borderId="16" xfId="57" applyFont="1" applyBorder="1" applyAlignment="1">
      <alignment horizontal="center" vertical="center"/>
      <protection/>
    </xf>
    <xf numFmtId="0" fontId="13" fillId="0" borderId="25" xfId="57" applyFont="1" applyBorder="1" applyAlignment="1">
      <alignment horizontal="center" vertical="center"/>
      <protection/>
    </xf>
    <xf numFmtId="0" fontId="13" fillId="0" borderId="15" xfId="57" applyFont="1" applyBorder="1" applyAlignment="1">
      <alignment horizontal="center" vertical="center"/>
      <protection/>
    </xf>
    <xf numFmtId="0" fontId="13" fillId="0" borderId="28" xfId="57" applyFont="1" applyBorder="1" applyAlignment="1">
      <alignment horizontal="center" vertical="center" wrapText="1"/>
      <protection/>
    </xf>
    <xf numFmtId="0" fontId="13" fillId="0" borderId="29" xfId="57" applyFont="1" applyBorder="1" applyAlignment="1">
      <alignment horizontal="center" vertical="center" wrapText="1"/>
      <protection/>
    </xf>
    <xf numFmtId="0" fontId="13" fillId="0" borderId="27" xfId="57" applyFont="1" applyBorder="1" applyAlignment="1">
      <alignment horizontal="center" vertical="center" wrapText="1"/>
      <protection/>
    </xf>
    <xf numFmtId="0" fontId="13" fillId="0" borderId="14" xfId="57" applyFont="1" applyBorder="1" applyAlignment="1">
      <alignment horizontal="center" vertical="center" wrapText="1"/>
      <protection/>
    </xf>
    <xf numFmtId="0" fontId="13" fillId="0" borderId="0" xfId="57" applyFont="1" applyBorder="1" applyAlignment="1">
      <alignment horizontal="center" vertical="center" wrapText="1"/>
      <protection/>
    </xf>
    <xf numFmtId="0" fontId="13" fillId="0" borderId="26" xfId="57" applyFont="1" applyBorder="1" applyAlignment="1">
      <alignment horizontal="center" vertical="center" wrapText="1"/>
      <protection/>
    </xf>
    <xf numFmtId="0" fontId="33" fillId="0" borderId="10" xfId="57" applyFont="1" applyBorder="1" applyAlignment="1">
      <alignment horizontal="center" vertical="center" wrapText="1"/>
      <protection/>
    </xf>
    <xf numFmtId="0" fontId="60" fillId="0" borderId="16" xfId="57" applyFont="1" applyBorder="1" applyAlignment="1">
      <alignment horizontal="center" wrapText="1"/>
      <protection/>
    </xf>
    <xf numFmtId="0" fontId="60" fillId="0" borderId="15" xfId="57" applyFont="1" applyBorder="1" applyAlignment="1">
      <alignment horizontal="center" wrapText="1"/>
      <protection/>
    </xf>
    <xf numFmtId="0" fontId="14" fillId="20" borderId="16" xfId="57" applyFont="1" applyFill="1" applyBorder="1" applyAlignment="1">
      <alignment horizontal="center" vertical="center" wrapText="1"/>
      <protection/>
    </xf>
    <xf numFmtId="0" fontId="14" fillId="20" borderId="15" xfId="57" applyFont="1" applyFill="1" applyBorder="1" applyAlignment="1">
      <alignment horizontal="center" vertical="center" wrapText="1"/>
      <protection/>
    </xf>
    <xf numFmtId="2" fontId="25" fillId="0" borderId="0" xfId="57" applyNumberFormat="1" applyFont="1" applyBorder="1" applyAlignment="1">
      <alignment horizontal="center" wrapText="1"/>
      <protection/>
    </xf>
    <xf numFmtId="2" fontId="25" fillId="0" borderId="0" xfId="57" applyNumberFormat="1" applyFont="1" applyBorder="1" applyAlignment="1">
      <alignment horizontal="center"/>
      <protection/>
    </xf>
    <xf numFmtId="2" fontId="10" fillId="0" borderId="0" xfId="57" applyNumberFormat="1" applyFont="1" applyBorder="1" applyAlignment="1">
      <alignment horizontal="center" wrapText="1"/>
      <protection/>
    </xf>
    <xf numFmtId="2" fontId="21" fillId="0" borderId="0" xfId="0" applyNumberFormat="1" applyFont="1" applyAlignment="1">
      <alignment horizontal="center"/>
    </xf>
    <xf numFmtId="49" fontId="0" fillId="0" borderId="0" xfId="57" applyNumberFormat="1" applyFont="1" applyAlignment="1">
      <alignment horizontal="left"/>
      <protection/>
    </xf>
    <xf numFmtId="49" fontId="21" fillId="0" borderId="0" xfId="57" applyNumberFormat="1" applyFont="1" applyAlignment="1">
      <alignment horizontal="center" wrapText="1"/>
      <protection/>
    </xf>
    <xf numFmtId="49" fontId="21" fillId="0" borderId="0" xfId="57" applyNumberFormat="1" applyFont="1" applyAlignment="1">
      <alignment horizontal="center"/>
      <protection/>
    </xf>
    <xf numFmtId="49" fontId="0" fillId="0" borderId="0" xfId="57" applyNumberFormat="1" applyFont="1" applyBorder="1" applyAlignment="1">
      <alignment horizontal="left"/>
      <protection/>
    </xf>
    <xf numFmtId="49" fontId="29" fillId="0" borderId="0" xfId="57" applyNumberFormat="1" applyFont="1" applyAlignment="1">
      <alignment horizontal="center"/>
      <protection/>
    </xf>
    <xf numFmtId="49" fontId="13" fillId="0" borderId="16" xfId="57" applyNumberFormat="1" applyFont="1" applyFill="1" applyBorder="1" applyAlignment="1">
      <alignment horizontal="center" vertical="center"/>
      <protection/>
    </xf>
    <xf numFmtId="49" fontId="13" fillId="0" borderId="25" xfId="57" applyNumberFormat="1" applyFont="1" applyFill="1" applyBorder="1" applyAlignment="1">
      <alignment horizontal="center" vertical="center"/>
      <protection/>
    </xf>
    <xf numFmtId="49" fontId="68" fillId="0" borderId="16" xfId="57" applyNumberFormat="1" applyFont="1" applyBorder="1" applyAlignment="1">
      <alignment horizontal="center" wrapText="1"/>
      <protection/>
    </xf>
    <xf numFmtId="49" fontId="68" fillId="0" borderId="15" xfId="57" applyNumberFormat="1" applyFont="1" applyBorder="1" applyAlignment="1">
      <alignment horizontal="center" wrapText="1"/>
      <protection/>
    </xf>
    <xf numFmtId="49" fontId="14" fillId="20" borderId="16" xfId="57" applyNumberFormat="1" applyFont="1" applyFill="1" applyBorder="1" applyAlignment="1">
      <alignment horizontal="center" vertical="center" wrapText="1"/>
      <protection/>
    </xf>
    <xf numFmtId="49" fontId="14" fillId="20" borderId="15" xfId="57" applyNumberFormat="1" applyFont="1" applyFill="1" applyBorder="1" applyAlignment="1">
      <alignment horizontal="center" vertical="center" wrapText="1"/>
      <protection/>
    </xf>
    <xf numFmtId="2" fontId="21" fillId="0" borderId="0" xfId="0" applyNumberFormat="1" applyFont="1" applyAlignment="1">
      <alignment horizontal="center" wrapText="1"/>
    </xf>
    <xf numFmtId="2" fontId="0" fillId="24" borderId="0" xfId="0" applyNumberFormat="1" applyFill="1" applyBorder="1" applyAlignment="1">
      <alignment horizontal="left"/>
    </xf>
    <xf numFmtId="2" fontId="0" fillId="24" borderId="0" xfId="0" applyNumberFormat="1" applyFont="1" applyFill="1" applyBorder="1" applyAlignment="1">
      <alignment horizontal="left"/>
    </xf>
    <xf numFmtId="2" fontId="21" fillId="0" borderId="0" xfId="44" applyNumberFormat="1" applyFont="1" applyAlignment="1">
      <alignment horizontal="center"/>
    </xf>
    <xf numFmtId="2" fontId="0" fillId="0" borderId="0" xfId="0" applyNumberFormat="1" applyBorder="1" applyAlignment="1">
      <alignment horizontal="left"/>
    </xf>
    <xf numFmtId="2" fontId="0" fillId="0" borderId="0" xfId="0" applyNumberFormat="1" applyFont="1" applyBorder="1" applyAlignment="1">
      <alignment horizontal="left"/>
    </xf>
    <xf numFmtId="2" fontId="29" fillId="0" borderId="0" xfId="0" applyNumberFormat="1" applyFont="1" applyAlignment="1">
      <alignment horizontal="center" vertical="center"/>
    </xf>
    <xf numFmtId="2" fontId="25" fillId="0" borderId="12" xfId="0" applyNumberFormat="1" applyFont="1" applyBorder="1" applyAlignment="1">
      <alignment horizontal="left"/>
    </xf>
    <xf numFmtId="49" fontId="14" fillId="0" borderId="28"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16" fillId="0" borderId="1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9" fillId="20" borderId="16" xfId="57" applyFont="1" applyFill="1" applyBorder="1" applyAlignment="1">
      <alignment horizontal="center" vertical="center" wrapText="1"/>
      <protection/>
    </xf>
    <xf numFmtId="0" fontId="19" fillId="20" borderId="15" xfId="57" applyFont="1" applyFill="1" applyBorder="1" applyAlignment="1">
      <alignment horizontal="center" vertical="center" wrapText="1"/>
      <protection/>
    </xf>
    <xf numFmtId="2" fontId="31" fillId="24" borderId="20" xfId="0" applyNumberFormat="1" applyFont="1" applyFill="1" applyBorder="1" applyAlignment="1">
      <alignment horizontal="center" vertical="center"/>
    </xf>
    <xf numFmtId="2" fontId="31" fillId="24" borderId="20" xfId="0" applyNumberFormat="1" applyFont="1" applyFill="1" applyBorder="1" applyAlignment="1">
      <alignment horizontal="center" vertical="center" wrapText="1"/>
    </xf>
    <xf numFmtId="2" fontId="31" fillId="24" borderId="0" xfId="0" applyNumberFormat="1" applyFont="1" applyFill="1" applyBorder="1" applyAlignment="1">
      <alignment horizontal="center" vertical="center" wrapText="1"/>
    </xf>
    <xf numFmtId="2" fontId="21" fillId="24" borderId="0" xfId="0" applyNumberFormat="1" applyFont="1" applyFill="1" applyBorder="1" applyAlignment="1">
      <alignment horizontal="center" vertical="center"/>
    </xf>
    <xf numFmtId="2" fontId="21" fillId="24" borderId="0" xfId="0" applyNumberFormat="1" applyFont="1" applyFill="1" applyBorder="1" applyAlignment="1">
      <alignment horizontal="center" vertical="center" wrapText="1"/>
    </xf>
    <xf numFmtId="2" fontId="21" fillId="24" borderId="0" xfId="0" applyNumberFormat="1" applyFont="1" applyFill="1" applyAlignment="1">
      <alignment horizontal="center" vertical="center" wrapText="1"/>
    </xf>
    <xf numFmtId="49" fontId="0" fillId="0" borderId="0" xfId="0" applyNumberFormat="1" applyFont="1" applyAlignment="1">
      <alignment horizontal="left"/>
    </xf>
    <xf numFmtId="49" fontId="19" fillId="0" borderId="28" xfId="0" applyNumberFormat="1" applyFont="1" applyFill="1" applyBorder="1" applyAlignment="1">
      <alignment horizontal="center" vertical="center" wrapText="1" readingOrder="1"/>
    </xf>
    <xf numFmtId="49" fontId="19" fillId="0" borderId="27" xfId="0" applyNumberFormat="1" applyFont="1" applyFill="1" applyBorder="1" applyAlignment="1">
      <alignment horizontal="center" vertical="center" wrapText="1" readingOrder="1"/>
    </xf>
    <xf numFmtId="49" fontId="19" fillId="0" borderId="14" xfId="0" applyNumberFormat="1" applyFont="1" applyFill="1" applyBorder="1" applyAlignment="1">
      <alignment horizontal="center" vertical="center" wrapText="1" readingOrder="1"/>
    </xf>
    <xf numFmtId="49" fontId="19" fillId="0" borderId="26" xfId="0" applyNumberFormat="1" applyFont="1" applyFill="1" applyBorder="1" applyAlignment="1">
      <alignment horizontal="center" vertical="center" wrapText="1" readingOrder="1"/>
    </xf>
    <xf numFmtId="49" fontId="19" fillId="0" borderId="22" xfId="0" applyNumberFormat="1" applyFont="1" applyFill="1" applyBorder="1" applyAlignment="1">
      <alignment horizontal="center" vertical="center" wrapText="1" readingOrder="1"/>
    </xf>
    <xf numFmtId="49" fontId="19" fillId="0" borderId="19" xfId="0" applyNumberFormat="1" applyFont="1" applyFill="1" applyBorder="1" applyAlignment="1">
      <alignment horizontal="center" vertical="center" wrapText="1" readingOrder="1"/>
    </xf>
    <xf numFmtId="49" fontId="33" fillId="0" borderId="28" xfId="0" applyNumberFormat="1" applyFont="1" applyFill="1" applyBorder="1" applyAlignment="1">
      <alignment horizontal="center" vertical="center" wrapText="1" readingOrder="1"/>
    </xf>
    <xf numFmtId="49" fontId="33" fillId="0" borderId="29" xfId="0" applyNumberFormat="1" applyFont="1" applyFill="1" applyBorder="1" applyAlignment="1">
      <alignment horizontal="center" vertical="center" wrapText="1" readingOrder="1"/>
    </xf>
    <xf numFmtId="49" fontId="33" fillId="0" borderId="27" xfId="0" applyNumberFormat="1" applyFont="1" applyFill="1" applyBorder="1" applyAlignment="1">
      <alignment horizontal="center" vertical="center" wrapText="1" readingOrder="1"/>
    </xf>
    <xf numFmtId="49" fontId="33" fillId="0" borderId="14" xfId="0" applyNumberFormat="1" applyFont="1" applyFill="1" applyBorder="1" applyAlignment="1">
      <alignment horizontal="center" vertical="center" wrapText="1" readingOrder="1"/>
    </xf>
    <xf numFmtId="49" fontId="33" fillId="0" borderId="0" xfId="0" applyNumberFormat="1" applyFont="1" applyFill="1" applyBorder="1" applyAlignment="1">
      <alignment horizontal="center" vertical="center" wrapText="1" readingOrder="1"/>
    </xf>
    <xf numFmtId="49" fontId="33" fillId="0" borderId="11" xfId="0" applyNumberFormat="1" applyFont="1" applyFill="1" applyBorder="1" applyAlignment="1">
      <alignment horizontal="center" vertical="center" wrapText="1" readingOrder="1"/>
    </xf>
    <xf numFmtId="49" fontId="33" fillId="0" borderId="17" xfId="0" applyNumberFormat="1" applyFont="1" applyFill="1" applyBorder="1" applyAlignment="1">
      <alignment horizontal="center" vertical="center" wrapText="1" readingOrder="1"/>
    </xf>
    <xf numFmtId="49" fontId="33" fillId="0" borderId="13" xfId="0" applyNumberFormat="1" applyFont="1" applyFill="1" applyBorder="1" applyAlignment="1">
      <alignment horizontal="center" vertical="center" wrapText="1" readingOrder="1"/>
    </xf>
    <xf numFmtId="0" fontId="0" fillId="0" borderId="13" xfId="0" applyBorder="1" applyAlignment="1">
      <alignment horizontal="center" vertical="center" wrapText="1" readingOrder="1"/>
    </xf>
    <xf numFmtId="49" fontId="33" fillId="0" borderId="10" xfId="0" applyNumberFormat="1" applyFont="1" applyFill="1" applyBorder="1" applyAlignment="1">
      <alignment horizontal="center" vertical="center" wrapText="1" readingOrder="1"/>
    </xf>
    <xf numFmtId="49" fontId="33" fillId="0" borderId="16" xfId="0" applyNumberFormat="1" applyFont="1" applyFill="1" applyBorder="1" applyAlignment="1">
      <alignment horizontal="center" vertical="center" wrapText="1" readingOrder="1"/>
    </xf>
    <xf numFmtId="49" fontId="14" fillId="20" borderId="16" xfId="57" applyNumberFormat="1" applyFont="1" applyFill="1" applyBorder="1" applyAlignment="1">
      <alignment horizontal="center" wrapText="1"/>
      <protection/>
    </xf>
    <xf numFmtId="49" fontId="14" fillId="20" borderId="15" xfId="57" applyNumberFormat="1" applyFont="1" applyFill="1" applyBorder="1" applyAlignment="1">
      <alignment horizontal="center" wrapText="1"/>
      <protection/>
    </xf>
    <xf numFmtId="49" fontId="33" fillId="0" borderId="22" xfId="0" applyNumberFormat="1" applyFont="1" applyFill="1" applyBorder="1" applyAlignment="1">
      <alignment horizontal="center" vertical="center" wrapText="1" readingOrder="1"/>
    </xf>
    <xf numFmtId="49" fontId="33" fillId="0" borderId="12" xfId="0" applyNumberFormat="1" applyFont="1" applyFill="1" applyBorder="1" applyAlignment="1">
      <alignment horizontal="center" vertical="center" wrapText="1" readingOrder="1"/>
    </xf>
    <xf numFmtId="49" fontId="33" fillId="0" borderId="19" xfId="0" applyNumberFormat="1" applyFont="1" applyFill="1" applyBorder="1" applyAlignment="1">
      <alignment horizontal="center" vertical="center" wrapText="1" readingOrder="1"/>
    </xf>
    <xf numFmtId="49" fontId="33" fillId="0" borderId="25" xfId="0" applyNumberFormat="1" applyFont="1" applyFill="1" applyBorder="1" applyAlignment="1">
      <alignment horizontal="center" vertical="center" wrapText="1" readingOrder="1"/>
    </xf>
    <xf numFmtId="49" fontId="33" fillId="0" borderId="15" xfId="0" applyNumberFormat="1" applyFont="1" applyFill="1" applyBorder="1" applyAlignment="1">
      <alignment horizontal="center" vertical="center" wrapText="1" readingOrder="1"/>
    </xf>
    <xf numFmtId="49" fontId="60" fillId="0" borderId="16" xfId="0" applyNumberFormat="1" applyFont="1" applyBorder="1" applyAlignment="1">
      <alignment horizontal="center" vertical="center" wrapText="1"/>
    </xf>
    <xf numFmtId="49" fontId="60" fillId="0" borderId="15" xfId="0" applyNumberFormat="1" applyFont="1" applyBorder="1" applyAlignment="1">
      <alignment horizontal="center" vertical="center" wrapText="1"/>
    </xf>
    <xf numFmtId="49" fontId="11" fillId="0" borderId="0" xfId="0" applyNumberFormat="1" applyFont="1" applyBorder="1" applyAlignment="1">
      <alignment horizontal="left" wrapText="1"/>
    </xf>
    <xf numFmtId="2" fontId="19" fillId="0" borderId="0" xfId="0" applyNumberFormat="1" applyFont="1" applyBorder="1" applyAlignment="1">
      <alignment horizontal="center" wrapText="1"/>
    </xf>
    <xf numFmtId="0" fontId="31" fillId="24" borderId="20" xfId="0" applyFont="1" applyFill="1" applyBorder="1" applyAlignment="1">
      <alignment horizontal="center" vertical="center" wrapText="1"/>
    </xf>
    <xf numFmtId="2" fontId="0" fillId="24" borderId="0" xfId="0" applyNumberFormat="1" applyFill="1" applyBorder="1" applyAlignment="1">
      <alignment/>
    </xf>
    <xf numFmtId="2" fontId="0" fillId="24" borderId="0" xfId="0" applyNumberFormat="1" applyFont="1" applyFill="1" applyBorder="1" applyAlignment="1">
      <alignment/>
    </xf>
    <xf numFmtId="2" fontId="0" fillId="0" borderId="0" xfId="0" applyNumberFormat="1" applyBorder="1" applyAlignment="1">
      <alignment/>
    </xf>
    <xf numFmtId="2" fontId="0" fillId="0" borderId="0" xfId="0" applyNumberFormat="1" applyFont="1" applyBorder="1" applyAlignment="1">
      <alignment/>
    </xf>
    <xf numFmtId="0" fontId="33" fillId="0" borderId="17" xfId="0" applyFont="1" applyBorder="1" applyAlignment="1">
      <alignment horizontal="center" vertical="center" wrapText="1" readingOrder="1"/>
    </xf>
    <xf numFmtId="0" fontId="33" fillId="0" borderId="13" xfId="0" applyFont="1" applyBorder="1" applyAlignment="1">
      <alignment horizontal="center" vertical="center" wrapText="1" readingOrder="1"/>
    </xf>
    <xf numFmtId="2" fontId="20" fillId="0" borderId="12" xfId="0" applyNumberFormat="1" applyFont="1" applyBorder="1" applyAlignment="1">
      <alignment/>
    </xf>
    <xf numFmtId="2" fontId="15" fillId="0" borderId="0" xfId="0" applyNumberFormat="1" applyFont="1" applyAlignment="1">
      <alignment vertical="center"/>
    </xf>
    <xf numFmtId="49" fontId="16" fillId="0" borderId="10" xfId="0" applyNumberFormat="1" applyFont="1" applyFill="1" applyBorder="1" applyAlignment="1">
      <alignment horizontal="center" vertical="center" wrapText="1" readingOrder="1"/>
    </xf>
    <xf numFmtId="0" fontId="0" fillId="0" borderId="0" xfId="0" applyNumberFormat="1" applyFont="1" applyAlignment="1">
      <alignment horizontal="left"/>
    </xf>
    <xf numFmtId="0" fontId="21" fillId="0" borderId="0" xfId="0" applyNumberFormat="1" applyFont="1" applyAlignment="1">
      <alignment horizontal="center" wrapText="1"/>
    </xf>
    <xf numFmtId="0" fontId="22" fillId="0" borderId="0" xfId="0" applyNumberFormat="1" applyFont="1" applyAlignment="1">
      <alignment horizontal="left" wrapText="1"/>
    </xf>
    <xf numFmtId="0" fontId="0" fillId="0" borderId="0" xfId="0" applyNumberFormat="1" applyFont="1" applyAlignment="1">
      <alignment/>
    </xf>
    <xf numFmtId="0" fontId="21" fillId="0" borderId="0" xfId="0" applyNumberFormat="1" applyFont="1" applyAlignment="1">
      <alignment horizontal="left" wrapText="1"/>
    </xf>
    <xf numFmtId="0" fontId="23" fillId="0" borderId="0" xfId="0" applyNumberFormat="1" applyFont="1" applyAlignment="1">
      <alignment horizontal="center" vertical="center"/>
    </xf>
    <xf numFmtId="0" fontId="25" fillId="0" borderId="12" xfId="0" applyNumberFormat="1" applyFont="1" applyBorder="1" applyAlignment="1">
      <alignment horizontal="left"/>
    </xf>
    <xf numFmtId="0" fontId="13"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xf>
    <xf numFmtId="0" fontId="15" fillId="20" borderId="16" xfId="0" applyNumberFormat="1" applyFont="1" applyFill="1" applyBorder="1" applyAlignment="1">
      <alignment horizontal="center" wrapText="1"/>
    </xf>
    <xf numFmtId="0" fontId="15" fillId="20" borderId="15" xfId="0" applyNumberFormat="1" applyFont="1" applyFill="1" applyBorder="1" applyAlignment="1">
      <alignment horizontal="center" wrapText="1"/>
    </xf>
    <xf numFmtId="0" fontId="31" fillId="0" borderId="0" xfId="0" applyNumberFormat="1" applyFont="1" applyBorder="1" applyAlignment="1">
      <alignment horizontal="center"/>
    </xf>
    <xf numFmtId="0" fontId="21" fillId="0" borderId="0" xfId="0" applyNumberFormat="1" applyFont="1" applyBorder="1" applyAlignment="1">
      <alignment horizontal="center"/>
    </xf>
    <xf numFmtId="0" fontId="22" fillId="0" borderId="20" xfId="0" applyNumberFormat="1" applyFont="1" applyBorder="1" applyAlignment="1">
      <alignment horizontal="center" wrapText="1"/>
    </xf>
    <xf numFmtId="0" fontId="21" fillId="0" borderId="0" xfId="0" applyNumberFormat="1" applyFont="1" applyBorder="1" applyAlignment="1">
      <alignment horizontal="center" wrapText="1"/>
    </xf>
    <xf numFmtId="0" fontId="22" fillId="0" borderId="0" xfId="0" applyNumberFormat="1" applyFont="1" applyBorder="1" applyAlignment="1">
      <alignment horizontal="center" wrapText="1"/>
    </xf>
    <xf numFmtId="0" fontId="0" fillId="0" borderId="0" xfId="0" applyNumberFormat="1" applyFont="1" applyAlignment="1">
      <alignment horizontal="center" wrapText="1"/>
    </xf>
    <xf numFmtId="0" fontId="0" fillId="0" borderId="0" xfId="0" applyNumberFormat="1" applyFont="1" applyFill="1" applyAlignment="1">
      <alignment horizontal="left"/>
    </xf>
    <xf numFmtId="0" fontId="15" fillId="0" borderId="0" xfId="0" applyNumberFormat="1" applyFont="1" applyFill="1" applyAlignment="1">
      <alignment horizontal="center" vertical="top" wrapText="1"/>
    </xf>
    <xf numFmtId="0" fontId="0"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29" fillId="0" borderId="0" xfId="0" applyNumberFormat="1" applyFont="1" applyFill="1" applyBorder="1" applyAlignment="1">
      <alignment horizontal="center" vertical="center"/>
    </xf>
    <xf numFmtId="0" fontId="13" fillId="0" borderId="12" xfId="0" applyNumberFormat="1" applyFont="1" applyFill="1" applyBorder="1" applyAlignment="1">
      <alignment horizontal="left" vertical="center"/>
    </xf>
    <xf numFmtId="0" fontId="13" fillId="0" borderId="28" xfId="0" applyNumberFormat="1" applyFont="1" applyFill="1" applyBorder="1" applyAlignment="1">
      <alignment horizontal="center" vertical="center" wrapText="1"/>
    </xf>
    <xf numFmtId="0" fontId="13" fillId="0" borderId="27"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0" fontId="13" fillId="0" borderId="17"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0" fontId="28" fillId="0" borderId="15" xfId="0" applyNumberFormat="1" applyFont="1" applyFill="1" applyBorder="1" applyAlignment="1">
      <alignment horizontal="center" vertical="center" wrapText="1"/>
    </xf>
    <xf numFmtId="0" fontId="15" fillId="20" borderId="16" xfId="0" applyNumberFormat="1" applyFont="1" applyFill="1" applyBorder="1" applyAlignment="1">
      <alignment horizontal="center"/>
    </xf>
    <xf numFmtId="0" fontId="15" fillId="20" borderId="15" xfId="0" applyNumberFormat="1" applyFont="1" applyFill="1" applyBorder="1" applyAlignment="1">
      <alignment horizontal="center"/>
    </xf>
    <xf numFmtId="0" fontId="31" fillId="0" borderId="20" xfId="0" applyNumberFormat="1" applyFont="1" applyFill="1" applyBorder="1" applyAlignment="1">
      <alignment horizontal="center" vertical="justify" wrapText="1"/>
    </xf>
    <xf numFmtId="0" fontId="21" fillId="0" borderId="0" xfId="0" applyNumberFormat="1" applyFont="1" applyFill="1" applyBorder="1" applyAlignment="1">
      <alignment horizontal="center" vertical="justify" wrapText="1"/>
    </xf>
    <xf numFmtId="0" fontId="0" fillId="0" borderId="0" xfId="0" applyNumberFormat="1" applyFont="1" applyFill="1" applyBorder="1" applyAlignment="1">
      <alignment horizontal="left"/>
    </xf>
    <xf numFmtId="0" fontId="0" fillId="0" borderId="0" xfId="0" applyNumberFormat="1" applyFont="1" applyFill="1" applyAlignment="1">
      <alignment horizontal="left" wrapText="1"/>
    </xf>
    <xf numFmtId="0" fontId="10" fillId="0" borderId="0" xfId="0" applyFont="1" applyAlignment="1">
      <alignment horizontal="center" vertical="center"/>
    </xf>
    <xf numFmtId="0" fontId="21" fillId="0" borderId="0" xfId="0" applyNumberFormat="1" applyFont="1" applyFill="1" applyAlignment="1">
      <alignment horizontal="center"/>
    </xf>
    <xf numFmtId="0" fontId="31" fillId="0" borderId="20" xfId="0" applyNumberFormat="1" applyFont="1" applyFill="1" applyBorder="1" applyAlignment="1">
      <alignment horizontal="center" wrapText="1"/>
    </xf>
    <xf numFmtId="0" fontId="10" fillId="0" borderId="0" xfId="0" applyNumberFormat="1" applyFont="1" applyFill="1" applyAlignment="1">
      <alignment horizontal="center"/>
    </xf>
    <xf numFmtId="0" fontId="20" fillId="0" borderId="0" xfId="0" applyNumberFormat="1" applyFont="1" applyFill="1" applyAlignment="1">
      <alignment/>
    </xf>
    <xf numFmtId="0" fontId="21" fillId="24" borderId="0" xfId="0" applyNumberFormat="1" applyFont="1" applyFill="1" applyAlignment="1">
      <alignment horizontal="center" vertical="center" wrapText="1"/>
    </xf>
    <xf numFmtId="0" fontId="0" fillId="24" borderId="0" xfId="0" applyNumberFormat="1" applyFont="1" applyFill="1" applyBorder="1" applyAlignment="1">
      <alignment horizontal="left"/>
    </xf>
    <xf numFmtId="0" fontId="10" fillId="0" borderId="0" xfId="0" applyNumberFormat="1" applyFont="1" applyBorder="1" applyAlignment="1">
      <alignment horizontal="left" wrapText="1"/>
    </xf>
    <xf numFmtId="0" fontId="0" fillId="0" borderId="0" xfId="0" applyNumberFormat="1" applyFont="1" applyBorder="1" applyAlignment="1">
      <alignment horizontal="left" wrapText="1"/>
    </xf>
    <xf numFmtId="0" fontId="29" fillId="0" borderId="0" xfId="0" applyNumberFormat="1" applyFont="1" applyFill="1" applyAlignment="1">
      <alignment horizontal="center" vertical="center"/>
    </xf>
    <xf numFmtId="0" fontId="11" fillId="0" borderId="16"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32" fillId="0" borderId="15" xfId="0" applyNumberFormat="1" applyFont="1" applyFill="1" applyBorder="1" applyAlignment="1">
      <alignment horizontal="center" vertical="center" wrapText="1"/>
    </xf>
    <xf numFmtId="0" fontId="26" fillId="24" borderId="12" xfId="0" applyNumberFormat="1" applyFont="1" applyFill="1" applyBorder="1" applyAlignment="1">
      <alignment horizontal="left"/>
    </xf>
    <xf numFmtId="0" fontId="23" fillId="0" borderId="10" xfId="0" applyNumberFormat="1" applyFont="1" applyBorder="1" applyAlignment="1">
      <alignment horizontal="center" vertical="center" wrapText="1"/>
    </xf>
    <xf numFmtId="0" fontId="10" fillId="20" borderId="16" xfId="0" applyNumberFormat="1" applyFont="1" applyFill="1" applyBorder="1" applyAlignment="1">
      <alignment horizontal="center" vertical="center"/>
    </xf>
    <xf numFmtId="0" fontId="10" fillId="20" borderId="15" xfId="0" applyNumberFormat="1" applyFont="1" applyFill="1" applyBorder="1" applyAlignment="1">
      <alignment horizontal="center" vertical="center"/>
    </xf>
    <xf numFmtId="0" fontId="31" fillId="0" borderId="0" xfId="0" applyNumberFormat="1" applyFont="1" applyBorder="1" applyAlignment="1">
      <alignment horizontal="center" wrapText="1"/>
    </xf>
    <xf numFmtId="0" fontId="11" fillId="0" borderId="28" xfId="0" applyNumberFormat="1" applyFont="1" applyBorder="1" applyAlignment="1">
      <alignment horizontal="center" vertical="center" wrapText="1"/>
    </xf>
    <xf numFmtId="0" fontId="11" fillId="0" borderId="27"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49" fontId="0" fillId="24" borderId="0" xfId="0" applyNumberFormat="1" applyFont="1" applyFill="1" applyAlignment="1">
      <alignment horizontal="left"/>
    </xf>
    <xf numFmtId="0" fontId="15" fillId="24" borderId="28" xfId="0" applyNumberFormat="1" applyFont="1" applyFill="1" applyBorder="1" applyAlignment="1">
      <alignment horizontal="center" vertical="center" wrapText="1"/>
    </xf>
    <xf numFmtId="0" fontId="15" fillId="24" borderId="27" xfId="0" applyNumberFormat="1" applyFont="1" applyFill="1" applyBorder="1" applyAlignment="1">
      <alignment horizontal="center" vertical="center" wrapText="1"/>
    </xf>
    <xf numFmtId="0" fontId="15" fillId="24" borderId="14" xfId="0" applyNumberFormat="1" applyFont="1" applyFill="1" applyBorder="1" applyAlignment="1">
      <alignment horizontal="center" vertical="center" wrapText="1"/>
    </xf>
    <xf numFmtId="0" fontId="15" fillId="24" borderId="26" xfId="0" applyNumberFormat="1" applyFont="1" applyFill="1" applyBorder="1" applyAlignment="1">
      <alignment horizontal="center" vertical="center" wrapText="1"/>
    </xf>
    <xf numFmtId="0" fontId="15" fillId="24" borderId="22" xfId="0" applyNumberFormat="1" applyFont="1" applyFill="1" applyBorder="1" applyAlignment="1">
      <alignment horizontal="center" vertical="center" wrapText="1"/>
    </xf>
    <xf numFmtId="0" fontId="15" fillId="24" borderId="19" xfId="0" applyNumberFormat="1" applyFont="1" applyFill="1" applyBorder="1" applyAlignment="1">
      <alignment horizontal="center" vertical="center" wrapText="1"/>
    </xf>
    <xf numFmtId="49" fontId="19" fillId="24" borderId="11" xfId="0" applyNumberFormat="1" applyFont="1" applyFill="1" applyBorder="1" applyAlignment="1" applyProtection="1">
      <alignment horizontal="center" vertical="center" wrapText="1"/>
      <protection/>
    </xf>
    <xf numFmtId="49" fontId="19" fillId="24" borderId="13" xfId="0" applyNumberFormat="1" applyFont="1" applyFill="1" applyBorder="1" applyAlignment="1">
      <alignment horizontal="center" vertical="center" wrapText="1"/>
    </xf>
    <xf numFmtId="49" fontId="19" fillId="24" borderId="17" xfId="0" applyNumberFormat="1" applyFont="1" applyFill="1" applyBorder="1" applyAlignment="1">
      <alignment horizontal="center" vertical="center" wrapText="1"/>
    </xf>
    <xf numFmtId="49" fontId="19" fillId="24" borderId="11" xfId="0" applyNumberFormat="1" applyFont="1" applyFill="1" applyBorder="1" applyAlignment="1">
      <alignment horizontal="center" vertical="center" wrapText="1"/>
    </xf>
    <xf numFmtId="49" fontId="19" fillId="24" borderId="28" xfId="0" applyNumberFormat="1" applyFont="1" applyFill="1" applyBorder="1" applyAlignment="1">
      <alignment horizontal="center" vertical="center" wrapText="1"/>
    </xf>
    <xf numFmtId="49" fontId="19" fillId="24" borderId="14" xfId="0" applyNumberFormat="1" applyFont="1" applyFill="1" applyBorder="1" applyAlignment="1">
      <alignment horizontal="center" vertical="center" wrapText="1"/>
    </xf>
    <xf numFmtId="49" fontId="19" fillId="24" borderId="22" xfId="0" applyNumberFormat="1" applyFont="1" applyFill="1" applyBorder="1" applyAlignment="1">
      <alignment horizontal="center" vertical="center" wrapText="1"/>
    </xf>
    <xf numFmtId="49" fontId="19" fillId="24" borderId="28" xfId="0" applyNumberFormat="1" applyFont="1" applyFill="1" applyBorder="1" applyAlignment="1" applyProtection="1">
      <alignment horizontal="center" vertical="center" wrapText="1"/>
      <protection/>
    </xf>
    <xf numFmtId="49" fontId="19" fillId="24" borderId="27" xfId="0" applyNumberFormat="1" applyFont="1" applyFill="1" applyBorder="1" applyAlignment="1">
      <alignment horizontal="center" vertical="center" wrapText="1"/>
    </xf>
    <xf numFmtId="49" fontId="19" fillId="24" borderId="19" xfId="0" applyNumberFormat="1" applyFont="1" applyFill="1" applyBorder="1" applyAlignment="1">
      <alignment horizontal="center" vertical="center" wrapText="1"/>
    </xf>
    <xf numFmtId="2" fontId="20" fillId="24" borderId="12" xfId="0" applyNumberFormat="1" applyFont="1" applyFill="1" applyBorder="1" applyAlignment="1">
      <alignment horizontal="left"/>
    </xf>
    <xf numFmtId="49" fontId="19" fillId="24" borderId="10" xfId="0" applyNumberFormat="1" applyFont="1" applyFill="1" applyBorder="1" applyAlignment="1" applyProtection="1">
      <alignment horizontal="center" vertical="center" wrapText="1"/>
      <protection/>
    </xf>
    <xf numFmtId="49" fontId="19" fillId="24" borderId="13" xfId="0" applyNumberFormat="1" applyFont="1" applyFill="1" applyBorder="1" applyAlignment="1" applyProtection="1">
      <alignment horizontal="center" vertical="center" wrapText="1"/>
      <protection/>
    </xf>
    <xf numFmtId="49" fontId="19" fillId="24" borderId="10" xfId="0" applyNumberFormat="1" applyFont="1" applyFill="1" applyBorder="1" applyAlignment="1">
      <alignment horizontal="center" vertical="center" wrapText="1"/>
    </xf>
    <xf numFmtId="49" fontId="28" fillId="24" borderId="16" xfId="0" applyNumberFormat="1" applyFont="1" applyFill="1" applyBorder="1" applyAlignment="1" applyProtection="1">
      <alignment horizontal="center" vertical="center" wrapText="1"/>
      <protection/>
    </xf>
    <xf numFmtId="49" fontId="28" fillId="24" borderId="15" xfId="0" applyNumberFormat="1" applyFont="1" applyFill="1" applyBorder="1" applyAlignment="1" applyProtection="1">
      <alignment horizontal="center" vertical="center" wrapText="1"/>
      <protection/>
    </xf>
    <xf numFmtId="1" fontId="14" fillId="24" borderId="16" xfId="0" applyNumberFormat="1" applyFont="1" applyFill="1" applyBorder="1" applyAlignment="1">
      <alignment horizontal="center" vertical="center"/>
    </xf>
    <xf numFmtId="1" fontId="14" fillId="24" borderId="25" xfId="0" applyNumberFormat="1" applyFont="1" applyFill="1" applyBorder="1" applyAlignment="1">
      <alignment horizontal="center" vertical="center"/>
    </xf>
    <xf numFmtId="1" fontId="14" fillId="24" borderId="15" xfId="0" applyNumberFormat="1" applyFont="1" applyFill="1" applyBorder="1" applyAlignment="1">
      <alignment horizontal="center" vertical="center"/>
    </xf>
    <xf numFmtId="49" fontId="19" fillId="24" borderId="15" xfId="0" applyNumberFormat="1" applyFont="1" applyFill="1" applyBorder="1" applyAlignment="1" applyProtection="1">
      <alignment horizontal="center" vertical="center" wrapText="1"/>
      <protection/>
    </xf>
    <xf numFmtId="49" fontId="19" fillId="24" borderId="16" xfId="0" applyNumberFormat="1" applyFont="1" applyFill="1" applyBorder="1" applyAlignment="1" applyProtection="1">
      <alignment horizontal="center" vertical="center" wrapText="1"/>
      <protection/>
    </xf>
    <xf numFmtId="49" fontId="19" fillId="24" borderId="25" xfId="0" applyNumberFormat="1" applyFont="1" applyFill="1" applyBorder="1" applyAlignment="1">
      <alignment horizontal="center" vertical="center" wrapText="1"/>
    </xf>
    <xf numFmtId="49" fontId="19" fillId="24" borderId="15" xfId="0" applyNumberFormat="1" applyFont="1" applyFill="1" applyBorder="1" applyAlignment="1">
      <alignment horizontal="center" vertical="center" wrapText="1"/>
    </xf>
    <xf numFmtId="49" fontId="11" fillId="24" borderId="0" xfId="0" applyNumberFormat="1" applyFont="1" applyFill="1" applyAlignment="1">
      <alignment horizontal="left" wrapText="1"/>
    </xf>
    <xf numFmtId="2" fontId="21" fillId="24" borderId="0" xfId="0" applyNumberFormat="1" applyFont="1" applyFill="1" applyAlignment="1">
      <alignment horizontal="center"/>
    </xf>
    <xf numFmtId="2" fontId="21" fillId="24" borderId="0" xfId="0" applyNumberFormat="1" applyFont="1" applyFill="1" applyAlignment="1">
      <alignment horizontal="center" wrapText="1"/>
    </xf>
    <xf numFmtId="2" fontId="31" fillId="24" borderId="0" xfId="0" applyNumberFormat="1" applyFont="1" applyFill="1" applyBorder="1" applyAlignment="1">
      <alignment horizontal="center" vertical="center"/>
    </xf>
    <xf numFmtId="49" fontId="10" fillId="20" borderId="16" xfId="0" applyNumberFormat="1" applyFont="1" applyFill="1" applyBorder="1" applyAlignment="1" applyProtection="1">
      <alignment horizontal="center" vertical="center" wrapText="1"/>
      <protection/>
    </xf>
    <xf numFmtId="49" fontId="10" fillId="20" borderId="15" xfId="0" applyNumberFormat="1" applyFont="1" applyFill="1" applyBorder="1" applyAlignment="1" applyProtection="1">
      <alignment horizontal="center" vertical="center" wrapText="1"/>
      <protection/>
    </xf>
    <xf numFmtId="49" fontId="19" fillId="24" borderId="29" xfId="0" applyNumberFormat="1" applyFont="1" applyFill="1" applyBorder="1" applyAlignment="1" applyProtection="1">
      <alignment horizontal="center" vertical="center" wrapText="1"/>
      <protection/>
    </xf>
    <xf numFmtId="49" fontId="19" fillId="24" borderId="27" xfId="0" applyNumberFormat="1" applyFont="1" applyFill="1" applyBorder="1" applyAlignment="1" applyProtection="1">
      <alignment horizontal="center" vertical="center" wrapText="1"/>
      <protection/>
    </xf>
    <xf numFmtId="49" fontId="11" fillId="24" borderId="0" xfId="0" applyNumberFormat="1" applyFont="1" applyFill="1" applyAlignment="1">
      <alignment horizontal="left"/>
    </xf>
    <xf numFmtId="2" fontId="0" fillId="24" borderId="0" xfId="0" applyNumberFormat="1" applyFill="1" applyBorder="1" applyAlignment="1">
      <alignment horizontal="left"/>
    </xf>
    <xf numFmtId="2" fontId="0" fillId="24" borderId="0" xfId="0" applyNumberFormat="1" applyFont="1" applyFill="1" applyBorder="1" applyAlignment="1">
      <alignment horizontal="left"/>
    </xf>
    <xf numFmtId="49" fontId="35" fillId="24" borderId="11" xfId="0" applyNumberFormat="1" applyFont="1" applyFill="1" applyBorder="1" applyAlignment="1" applyProtection="1">
      <alignment horizontal="center" vertical="center" wrapText="1"/>
      <protection/>
    </xf>
    <xf numFmtId="49" fontId="35" fillId="24" borderId="17" xfId="0" applyNumberFormat="1" applyFont="1" applyFill="1" applyBorder="1" applyAlignment="1">
      <alignment horizontal="center" vertical="center" wrapText="1"/>
    </xf>
    <xf numFmtId="49" fontId="35" fillId="24" borderId="13" xfId="0" applyNumberFormat="1" applyFont="1" applyFill="1" applyBorder="1" applyAlignment="1">
      <alignment horizontal="center" vertical="center" wrapText="1"/>
    </xf>
    <xf numFmtId="49" fontId="19" fillId="24" borderId="25" xfId="0" applyNumberFormat="1" applyFont="1" applyFill="1" applyBorder="1" applyAlignment="1" applyProtection="1">
      <alignment horizontal="center" vertical="center" wrapText="1"/>
      <protection/>
    </xf>
    <xf numFmtId="49" fontId="19" fillId="24" borderId="26" xfId="0" applyNumberFormat="1" applyFont="1" applyFill="1" applyBorder="1" applyAlignment="1">
      <alignment horizontal="center" vertical="center" wrapText="1"/>
    </xf>
    <xf numFmtId="49" fontId="21" fillId="24" borderId="0" xfId="0" applyNumberFormat="1" applyFont="1" applyFill="1" applyAlignment="1">
      <alignment horizontal="center" wrapText="1"/>
    </xf>
    <xf numFmtId="49" fontId="14" fillId="24" borderId="11" xfId="0" applyNumberFormat="1" applyFont="1" applyFill="1" applyBorder="1" applyAlignment="1" applyProtection="1">
      <alignment horizontal="center" vertical="center" wrapText="1"/>
      <protection/>
    </xf>
    <xf numFmtId="49" fontId="14" fillId="24" borderId="17" xfId="0" applyNumberFormat="1" applyFont="1" applyFill="1" applyBorder="1" applyAlignment="1">
      <alignment horizontal="center" vertical="center" wrapText="1"/>
    </xf>
    <xf numFmtId="49" fontId="14" fillId="24" borderId="13" xfId="0" applyNumberFormat="1" applyFont="1" applyFill="1" applyBorder="1" applyAlignment="1">
      <alignment horizontal="center" vertical="center" wrapText="1"/>
    </xf>
    <xf numFmtId="49" fontId="14" fillId="24" borderId="10" xfId="0" applyNumberFormat="1" applyFont="1" applyFill="1" applyBorder="1" applyAlignment="1">
      <alignment horizontal="center" vertical="center" wrapText="1"/>
    </xf>
    <xf numFmtId="0" fontId="14" fillId="24" borderId="28" xfId="0" applyNumberFormat="1" applyFont="1" applyFill="1" applyBorder="1" applyAlignment="1">
      <alignment horizontal="center" vertical="center" wrapText="1"/>
    </xf>
    <xf numFmtId="0" fontId="14" fillId="24" borderId="27" xfId="0" applyNumberFormat="1" applyFont="1" applyFill="1" applyBorder="1" applyAlignment="1">
      <alignment horizontal="center" vertical="center" wrapText="1"/>
    </xf>
    <xf numFmtId="0" fontId="14" fillId="24" borderId="14" xfId="0" applyNumberFormat="1" applyFont="1" applyFill="1" applyBorder="1" applyAlignment="1">
      <alignment horizontal="center" vertical="center" wrapText="1"/>
    </xf>
    <xf numFmtId="0" fontId="14" fillId="24" borderId="26" xfId="0" applyNumberFormat="1" applyFont="1" applyFill="1" applyBorder="1" applyAlignment="1">
      <alignment horizontal="center" vertical="center" wrapText="1"/>
    </xf>
    <xf numFmtId="0" fontId="14" fillId="24" borderId="22" xfId="0" applyNumberFormat="1" applyFont="1" applyFill="1" applyBorder="1" applyAlignment="1">
      <alignment horizontal="center" vertical="center" wrapText="1"/>
    </xf>
    <xf numFmtId="0" fontId="14" fillId="24" borderId="19" xfId="0" applyNumberFormat="1" applyFont="1" applyFill="1" applyBorder="1" applyAlignment="1">
      <alignment horizontal="center" vertical="center" wrapText="1"/>
    </xf>
    <xf numFmtId="49" fontId="14" fillId="24" borderId="15" xfId="0" applyNumberFormat="1" applyFont="1" applyFill="1" applyBorder="1" applyAlignment="1" applyProtection="1">
      <alignment horizontal="center" vertical="center" wrapText="1"/>
      <protection/>
    </xf>
    <xf numFmtId="49" fontId="14" fillId="24" borderId="11" xfId="0" applyNumberFormat="1" applyFont="1" applyFill="1" applyBorder="1" applyAlignment="1">
      <alignment horizontal="center" vertical="center" wrapText="1"/>
    </xf>
    <xf numFmtId="2" fontId="25" fillId="24" borderId="12" xfId="0" applyNumberFormat="1" applyFont="1" applyFill="1" applyBorder="1" applyAlignment="1">
      <alignment/>
    </xf>
    <xf numFmtId="49" fontId="14" fillId="24" borderId="28" xfId="0" applyNumberFormat="1" applyFont="1" applyFill="1" applyBorder="1" applyAlignment="1" applyProtection="1">
      <alignment horizontal="center" vertical="center" wrapText="1"/>
      <protection/>
    </xf>
    <xf numFmtId="49" fontId="14" fillId="24" borderId="27" xfId="0" applyNumberFormat="1" applyFont="1" applyFill="1" applyBorder="1" applyAlignment="1">
      <alignment horizontal="center" vertical="center" wrapText="1"/>
    </xf>
    <xf numFmtId="49" fontId="14" fillId="24" borderId="22" xfId="0" applyNumberFormat="1" applyFont="1" applyFill="1" applyBorder="1" applyAlignment="1">
      <alignment horizontal="center" vertical="center" wrapText="1"/>
    </xf>
    <xf numFmtId="49" fontId="14" fillId="24" borderId="19" xfId="0" applyNumberFormat="1" applyFont="1" applyFill="1" applyBorder="1" applyAlignment="1">
      <alignment horizontal="center" vertical="center" wrapText="1"/>
    </xf>
    <xf numFmtId="49" fontId="14" fillId="24" borderId="29" xfId="0" applyNumberFormat="1" applyFont="1" applyFill="1" applyBorder="1" applyAlignment="1" applyProtection="1">
      <alignment horizontal="center" vertical="center" wrapText="1"/>
      <protection/>
    </xf>
    <xf numFmtId="49" fontId="14" fillId="24" borderId="27" xfId="0" applyNumberFormat="1" applyFont="1" applyFill="1" applyBorder="1" applyAlignment="1" applyProtection="1">
      <alignment horizontal="center" vertical="center" wrapText="1"/>
      <protection/>
    </xf>
    <xf numFmtId="49" fontId="14" fillId="24" borderId="26" xfId="0" applyNumberFormat="1" applyFont="1" applyFill="1" applyBorder="1" applyAlignment="1">
      <alignment horizontal="center" vertical="center" wrapText="1"/>
    </xf>
    <xf numFmtId="49" fontId="14" fillId="24" borderId="16" xfId="0" applyNumberFormat="1" applyFont="1" applyFill="1" applyBorder="1" applyAlignment="1" applyProtection="1">
      <alignment horizontal="center" vertical="center" wrapText="1"/>
      <protection/>
    </xf>
    <xf numFmtId="49" fontId="14" fillId="24" borderId="25" xfId="0" applyNumberFormat="1" applyFont="1" applyFill="1" applyBorder="1" applyAlignment="1" applyProtection="1">
      <alignment horizontal="center" vertical="center" wrapText="1"/>
      <protection/>
    </xf>
    <xf numFmtId="49" fontId="14" fillId="24" borderId="10" xfId="0" applyNumberFormat="1" applyFont="1" applyFill="1" applyBorder="1" applyAlignment="1" applyProtection="1">
      <alignment horizontal="center" vertical="center" wrapText="1"/>
      <protection/>
    </xf>
    <xf numFmtId="49" fontId="14" fillId="24" borderId="28" xfId="0" applyNumberFormat="1" applyFont="1" applyFill="1" applyBorder="1" applyAlignment="1">
      <alignment horizontal="center" vertical="center" wrapText="1"/>
    </xf>
    <xf numFmtId="49" fontId="14" fillId="24" borderId="14" xfId="0" applyNumberFormat="1" applyFont="1" applyFill="1" applyBorder="1" applyAlignment="1">
      <alignment horizontal="center" vertical="center" wrapText="1"/>
    </xf>
    <xf numFmtId="49" fontId="14" fillId="24" borderId="25" xfId="0" applyNumberFormat="1" applyFont="1" applyFill="1" applyBorder="1" applyAlignment="1">
      <alignment horizontal="center" vertical="center" wrapText="1"/>
    </xf>
    <xf numFmtId="49" fontId="14" fillId="24" borderId="15" xfId="0" applyNumberFormat="1" applyFont="1" applyFill="1" applyBorder="1" applyAlignment="1">
      <alignment horizontal="center" vertical="center" wrapText="1"/>
    </xf>
    <xf numFmtId="2" fontId="0" fillId="24" borderId="0" xfId="0" applyNumberFormat="1" applyFill="1" applyBorder="1" applyAlignment="1">
      <alignment/>
    </xf>
    <xf numFmtId="2" fontId="0" fillId="24" borderId="0" xfId="0" applyNumberFormat="1" applyFont="1" applyFill="1" applyBorder="1" applyAlignment="1">
      <alignment/>
    </xf>
    <xf numFmtId="2" fontId="11" fillId="24" borderId="0" xfId="0" applyNumberFormat="1" applyFont="1" applyFill="1" applyAlignment="1">
      <alignment horizontal="left" wrapText="1"/>
    </xf>
    <xf numFmtId="2" fontId="11" fillId="24" borderId="0" xfId="0" applyNumberFormat="1" applyFont="1" applyFill="1" applyAlignment="1">
      <alignment horizontal="left"/>
    </xf>
    <xf numFmtId="49" fontId="21" fillId="24" borderId="0" xfId="0" applyNumberFormat="1" applyFont="1" applyFill="1" applyAlignment="1">
      <alignment horizontal="center" vertical="center"/>
    </xf>
    <xf numFmtId="0" fontId="15" fillId="24" borderId="10" xfId="0" applyNumberFormat="1" applyFont="1" applyFill="1" applyBorder="1" applyAlignment="1">
      <alignment horizontal="center" vertical="center" wrapText="1"/>
    </xf>
    <xf numFmtId="0" fontId="11" fillId="24" borderId="10" xfId="0" applyNumberFormat="1" applyFont="1" applyFill="1" applyBorder="1" applyAlignment="1">
      <alignment horizontal="center" vertical="center" wrapText="1"/>
    </xf>
    <xf numFmtId="0" fontId="35" fillId="24" borderId="22" xfId="0" applyNumberFormat="1" applyFont="1" applyFill="1" applyBorder="1" applyAlignment="1">
      <alignment horizontal="center" vertical="center" wrapText="1"/>
    </xf>
    <xf numFmtId="0" fontId="35" fillId="24" borderId="19" xfId="0" applyNumberFormat="1" applyFont="1" applyFill="1" applyBorder="1" applyAlignment="1">
      <alignment horizontal="center" vertical="center" wrapText="1"/>
    </xf>
    <xf numFmtId="0" fontId="0" fillId="24" borderId="0" xfId="0" applyNumberFormat="1" applyFont="1" applyFill="1" applyBorder="1" applyAlignment="1">
      <alignment horizontal="left" vertical="center"/>
    </xf>
    <xf numFmtId="0" fontId="0" fillId="24" borderId="0" xfId="0" applyFont="1" applyFill="1" applyBorder="1" applyAlignment="1">
      <alignment horizontal="left" vertical="center"/>
    </xf>
    <xf numFmtId="2" fontId="0" fillId="24" borderId="0" xfId="0" applyNumberFormat="1" applyFont="1" applyFill="1" applyAlignment="1">
      <alignment horizontal="left" vertical="center"/>
    </xf>
    <xf numFmtId="0" fontId="0" fillId="24" borderId="0" xfId="0" applyNumberFormat="1" applyFill="1" applyAlignment="1">
      <alignment horizontal="left" vertical="center"/>
    </xf>
    <xf numFmtId="0" fontId="21" fillId="24" borderId="0" xfId="0" applyNumberFormat="1" applyFont="1" applyFill="1" applyAlignment="1">
      <alignment horizontal="center" vertical="center"/>
    </xf>
    <xf numFmtId="0" fontId="21" fillId="24" borderId="0" xfId="0" applyNumberFormat="1" applyFont="1" applyFill="1" applyAlignment="1">
      <alignment horizontal="center" vertical="center" wrapText="1"/>
    </xf>
    <xf numFmtId="0" fontId="20" fillId="24" borderId="12" xfId="0" applyNumberFormat="1" applyFont="1" applyFill="1" applyBorder="1" applyAlignment="1">
      <alignment horizontal="left" vertical="center" wrapText="1"/>
    </xf>
    <xf numFmtId="0" fontId="31" fillId="24" borderId="0" xfId="0" applyFont="1" applyFill="1" applyBorder="1" applyAlignment="1">
      <alignment horizontal="center" vertical="center" wrapText="1"/>
    </xf>
    <xf numFmtId="0" fontId="31" fillId="24" borderId="0" xfId="0" applyFont="1" applyFill="1" applyBorder="1" applyAlignment="1">
      <alignment horizontal="center" vertical="center"/>
    </xf>
    <xf numFmtId="0" fontId="15" fillId="24" borderId="10" xfId="0" applyFont="1" applyFill="1" applyBorder="1" applyAlignment="1">
      <alignment horizontal="center" vertical="center" wrapText="1"/>
    </xf>
    <xf numFmtId="0" fontId="11" fillId="24" borderId="28" xfId="0" applyFont="1" applyFill="1" applyBorder="1" applyAlignment="1">
      <alignment horizontal="center" vertical="center" wrapText="1"/>
    </xf>
    <xf numFmtId="0" fontId="11" fillId="24" borderId="29" xfId="0" applyFont="1" applyFill="1" applyBorder="1" applyAlignment="1">
      <alignment horizontal="center" vertical="center" wrapText="1"/>
    </xf>
    <xf numFmtId="0" fontId="11" fillId="24" borderId="27" xfId="0" applyFont="1" applyFill="1" applyBorder="1" applyAlignment="1">
      <alignment horizontal="center" vertical="center" wrapText="1"/>
    </xf>
    <xf numFmtId="0" fontId="11" fillId="24" borderId="11" xfId="0" applyNumberFormat="1"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11" fillId="24" borderId="17" xfId="0" applyNumberFormat="1" applyFont="1" applyFill="1" applyBorder="1" applyAlignment="1">
      <alignment horizontal="center" vertical="center" wrapText="1"/>
    </xf>
    <xf numFmtId="0" fontId="11" fillId="24" borderId="13" xfId="0" applyNumberFormat="1" applyFont="1" applyFill="1" applyBorder="1" applyAlignment="1">
      <alignment horizontal="center" vertical="center" wrapText="1"/>
    </xf>
    <xf numFmtId="0" fontId="11" fillId="24" borderId="16" xfId="0" applyNumberFormat="1" applyFont="1" applyFill="1" applyBorder="1" applyAlignment="1">
      <alignment horizontal="center" vertical="center" wrapText="1"/>
    </xf>
    <xf numFmtId="0" fontId="11" fillId="24" borderId="25" xfId="0" applyNumberFormat="1" applyFont="1" applyFill="1" applyBorder="1" applyAlignment="1">
      <alignment horizontal="center" vertical="center" wrapText="1"/>
    </xf>
    <xf numFmtId="0" fontId="11" fillId="24" borderId="15" xfId="0" applyNumberFormat="1" applyFont="1" applyFill="1" applyBorder="1" applyAlignment="1">
      <alignment horizontal="center" vertical="center" wrapText="1"/>
    </xf>
    <xf numFmtId="49" fontId="10" fillId="24" borderId="16" xfId="0" applyNumberFormat="1" applyFont="1" applyFill="1" applyBorder="1" applyAlignment="1">
      <alignment horizontal="center"/>
    </xf>
    <xf numFmtId="49" fontId="10" fillId="24" borderId="15" xfId="0" applyNumberFormat="1" applyFont="1" applyFill="1" applyBorder="1" applyAlignment="1">
      <alignment horizontal="center"/>
    </xf>
    <xf numFmtId="49" fontId="34" fillId="24" borderId="16" xfId="0" applyNumberFormat="1" applyFont="1" applyFill="1" applyBorder="1" applyAlignment="1">
      <alignment horizontal="center" vertical="center"/>
    </xf>
    <xf numFmtId="49" fontId="34" fillId="24" borderId="15" xfId="0" applyNumberFormat="1" applyFont="1" applyFill="1" applyBorder="1" applyAlignment="1">
      <alignment horizontal="center" vertical="center"/>
    </xf>
    <xf numFmtId="49" fontId="21" fillId="24" borderId="0" xfId="0" applyNumberFormat="1" applyFont="1" applyFill="1" applyAlignment="1">
      <alignment horizontal="center"/>
    </xf>
    <xf numFmtId="2" fontId="21" fillId="0" borderId="0" xfId="0" applyNumberFormat="1" applyFont="1" applyAlignment="1">
      <alignment horizontal="left" vertical="center"/>
    </xf>
    <xf numFmtId="2" fontId="0" fillId="24" borderId="0" xfId="0" applyNumberFormat="1" applyFont="1" applyFill="1" applyAlignment="1">
      <alignment horizontal="left"/>
    </xf>
    <xf numFmtId="2" fontId="11" fillId="24" borderId="17" xfId="0" applyNumberFormat="1" applyFont="1" applyFill="1" applyBorder="1" applyAlignment="1">
      <alignment horizontal="center" vertical="center" wrapText="1"/>
    </xf>
    <xf numFmtId="2" fontId="11" fillId="24" borderId="13" xfId="0" applyNumberFormat="1" applyFont="1" applyFill="1" applyBorder="1" applyAlignment="1">
      <alignment horizontal="center" vertical="center" wrapText="1"/>
    </xf>
    <xf numFmtId="2" fontId="64" fillId="24" borderId="11" xfId="0" applyNumberFormat="1" applyFont="1" applyFill="1" applyBorder="1" applyAlignment="1">
      <alignment horizontal="center" vertical="center" wrapText="1"/>
    </xf>
    <xf numFmtId="2" fontId="64" fillId="24" borderId="13" xfId="0" applyNumberFormat="1" applyFont="1" applyFill="1" applyBorder="1" applyAlignment="1">
      <alignment horizontal="center" vertical="center" wrapText="1"/>
    </xf>
    <xf numFmtId="2" fontId="11" fillId="24" borderId="16" xfId="0" applyNumberFormat="1" applyFont="1" applyFill="1" applyBorder="1" applyAlignment="1">
      <alignment horizontal="center" vertical="center" wrapText="1"/>
    </xf>
    <xf numFmtId="2" fontId="11" fillId="24" borderId="15" xfId="0" applyNumberFormat="1" applyFont="1" applyFill="1" applyBorder="1" applyAlignment="1">
      <alignment horizontal="center" vertical="center" wrapText="1"/>
    </xf>
    <xf numFmtId="2" fontId="29" fillId="0" borderId="0" xfId="0" applyNumberFormat="1" applyFont="1" applyAlignment="1">
      <alignment horizontal="center"/>
    </xf>
    <xf numFmtId="2" fontId="0" fillId="24" borderId="0" xfId="0" applyNumberFormat="1" applyFont="1" applyFill="1" applyBorder="1" applyAlignment="1">
      <alignment horizontal="center"/>
    </xf>
    <xf numFmtId="2" fontId="28" fillId="24" borderId="16" xfId="0" applyNumberFormat="1" applyFont="1" applyFill="1" applyBorder="1" applyAlignment="1">
      <alignment horizontal="center"/>
    </xf>
    <xf numFmtId="2" fontId="28" fillId="24" borderId="15" xfId="0" applyNumberFormat="1" applyFont="1" applyFill="1" applyBorder="1" applyAlignment="1">
      <alignment horizontal="center"/>
    </xf>
    <xf numFmtId="2" fontId="15" fillId="24" borderId="16" xfId="0" applyNumberFormat="1" applyFont="1" applyFill="1" applyBorder="1" applyAlignment="1">
      <alignment horizontal="center" vertical="center" wrapText="1"/>
    </xf>
    <xf numFmtId="2" fontId="15" fillId="24" borderId="10" xfId="0" applyNumberFormat="1" applyFont="1" applyFill="1" applyBorder="1" applyAlignment="1">
      <alignment horizontal="center" vertical="center" wrapText="1"/>
    </xf>
    <xf numFmtId="2" fontId="15" fillId="24" borderId="25" xfId="0" applyNumberFormat="1" applyFont="1" applyFill="1" applyBorder="1" applyAlignment="1">
      <alignment horizontal="center" vertical="center" wrapText="1"/>
    </xf>
    <xf numFmtId="2" fontId="15" fillId="24" borderId="15" xfId="0" applyNumberFormat="1" applyFont="1" applyFill="1" applyBorder="1" applyAlignment="1">
      <alignment horizontal="center" vertical="center" wrapText="1"/>
    </xf>
    <xf numFmtId="0" fontId="0" fillId="24" borderId="17"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3" xfId="0" applyFont="1" applyFill="1" applyBorder="1" applyAlignment="1">
      <alignment horizontal="center" vertical="center"/>
    </xf>
    <xf numFmtId="2" fontId="11" fillId="24" borderId="22" xfId="0" applyNumberFormat="1" applyFont="1" applyFill="1" applyBorder="1" applyAlignment="1">
      <alignment horizontal="center" vertical="center" wrapText="1"/>
    </xf>
    <xf numFmtId="2" fontId="11" fillId="24" borderId="12" xfId="0" applyNumberFormat="1" applyFont="1" applyFill="1" applyBorder="1" applyAlignment="1">
      <alignment horizontal="center" vertical="center" wrapText="1"/>
    </xf>
    <xf numFmtId="2" fontId="11" fillId="24" borderId="19" xfId="0" applyNumberFormat="1" applyFont="1" applyFill="1" applyBorder="1" applyAlignment="1">
      <alignment horizontal="center" vertical="center" wrapText="1"/>
    </xf>
    <xf numFmtId="2" fontId="15" fillId="24" borderId="28" xfId="0" applyNumberFormat="1" applyFont="1" applyFill="1" applyBorder="1" applyAlignment="1">
      <alignment horizontal="center" vertical="center" wrapText="1"/>
    </xf>
    <xf numFmtId="2" fontId="15" fillId="24" borderId="27" xfId="0" applyNumberFormat="1" applyFont="1" applyFill="1" applyBorder="1" applyAlignment="1">
      <alignment horizontal="center" vertical="center" wrapText="1"/>
    </xf>
    <xf numFmtId="2" fontId="15" fillId="24" borderId="14" xfId="0" applyNumberFormat="1" applyFont="1" applyFill="1" applyBorder="1" applyAlignment="1">
      <alignment horizontal="center" vertical="center" wrapText="1"/>
    </xf>
    <xf numFmtId="2" fontId="15" fillId="24" borderId="26" xfId="0" applyNumberFormat="1" applyFont="1" applyFill="1" applyBorder="1" applyAlignment="1">
      <alignment horizontal="center" vertical="center" wrapText="1"/>
    </xf>
    <xf numFmtId="2" fontId="15" fillId="24" borderId="22" xfId="0" applyNumberFormat="1" applyFont="1" applyFill="1" applyBorder="1" applyAlignment="1">
      <alignment horizontal="center" vertical="center" wrapText="1"/>
    </xf>
    <xf numFmtId="2" fontId="15" fillId="24" borderId="19" xfId="0" applyNumberFormat="1" applyFont="1" applyFill="1" applyBorder="1" applyAlignment="1">
      <alignment horizontal="center" vertical="center" wrapText="1"/>
    </xf>
    <xf numFmtId="2" fontId="5" fillId="24" borderId="0" xfId="0" applyNumberFormat="1" applyFont="1" applyFill="1" applyBorder="1" applyAlignment="1">
      <alignment horizontal="center"/>
    </xf>
    <xf numFmtId="2" fontId="5" fillId="24" borderId="0" xfId="0" applyNumberFormat="1" applyFont="1" applyFill="1" applyBorder="1" applyAlignment="1">
      <alignment horizontal="left"/>
    </xf>
    <xf numFmtId="2" fontId="2" fillId="24" borderId="0" xfId="0" applyNumberFormat="1" applyFont="1" applyFill="1" applyBorder="1" applyAlignment="1">
      <alignment horizontal="center"/>
    </xf>
    <xf numFmtId="2" fontId="3" fillId="24" borderId="0" xfId="0" applyNumberFormat="1" applyFont="1" applyFill="1" applyBorder="1" applyAlignment="1">
      <alignment horizontal="center"/>
    </xf>
    <xf numFmtId="2" fontId="13" fillId="24" borderId="0" xfId="0" applyNumberFormat="1" applyFont="1" applyFill="1" applyBorder="1" applyAlignment="1">
      <alignment horizontal="center"/>
    </xf>
    <xf numFmtId="2" fontId="0" fillId="24" borderId="0" xfId="0" applyNumberFormat="1" applyFill="1" applyAlignment="1">
      <alignment horizontal="left"/>
    </xf>
    <xf numFmtId="2" fontId="15" fillId="0" borderId="0" xfId="0" applyNumberFormat="1" applyFont="1" applyAlignment="1">
      <alignment horizontal="left"/>
    </xf>
    <xf numFmtId="49" fontId="34" fillId="24" borderId="16" xfId="0" applyNumberFormat="1" applyFont="1" applyFill="1" applyBorder="1" applyAlignment="1">
      <alignment horizontal="center"/>
    </xf>
    <xf numFmtId="49" fontId="34" fillId="24" borderId="15" xfId="0" applyNumberFormat="1" applyFont="1" applyFill="1" applyBorder="1" applyAlignment="1">
      <alignment horizontal="center"/>
    </xf>
    <xf numFmtId="2" fontId="0" fillId="24" borderId="0" xfId="0" applyNumberFormat="1" applyFont="1" applyFill="1" applyBorder="1" applyAlignment="1">
      <alignment horizontal="left" vertical="center"/>
    </xf>
    <xf numFmtId="2" fontId="28" fillId="24" borderId="16" xfId="0" applyNumberFormat="1" applyFont="1" applyFill="1" applyBorder="1" applyAlignment="1">
      <alignment horizontal="center" vertical="center"/>
    </xf>
    <xf numFmtId="2" fontId="28" fillId="24" borderId="15" xfId="0" applyNumberFormat="1" applyFont="1" applyFill="1" applyBorder="1" applyAlignment="1">
      <alignment horizontal="center" vertical="center"/>
    </xf>
    <xf numFmtId="2" fontId="11" fillId="24" borderId="10" xfId="0" applyNumberFormat="1" applyFont="1" applyFill="1" applyBorder="1" applyAlignment="1">
      <alignment horizontal="center" vertical="center" wrapText="1"/>
    </xf>
    <xf numFmtId="2" fontId="20" fillId="24" borderId="12" xfId="0" applyNumberFormat="1" applyFont="1" applyFill="1" applyBorder="1" applyAlignment="1">
      <alignment vertical="center"/>
    </xf>
    <xf numFmtId="2" fontId="0" fillId="24" borderId="0" xfId="0" applyNumberFormat="1" applyFill="1" applyAlignment="1">
      <alignment vertical="center"/>
    </xf>
    <xf numFmtId="49" fontId="21" fillId="0" borderId="0" xfId="0" applyNumberFormat="1" applyFont="1" applyAlignment="1">
      <alignment horizontal="center" wrapText="1"/>
    </xf>
    <xf numFmtId="49" fontId="34" fillId="0" borderId="16" xfId="0" applyNumberFormat="1" applyFont="1" applyBorder="1" applyAlignment="1">
      <alignment horizontal="center" vertical="center"/>
    </xf>
    <xf numFmtId="49" fontId="34"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5" xfId="0" applyNumberFormat="1" applyFont="1" applyBorder="1" applyAlignment="1">
      <alignment horizontal="center" vertical="center"/>
    </xf>
    <xf numFmtId="2" fontId="21" fillId="0" borderId="0" xfId="0" applyNumberFormat="1" applyFont="1" applyAlignment="1">
      <alignment horizontal="center" vertical="center"/>
    </xf>
    <xf numFmtId="2" fontId="20" fillId="0" borderId="12" xfId="0" applyNumberFormat="1" applyFont="1" applyBorder="1" applyAlignment="1">
      <alignment horizontal="left" vertical="center"/>
    </xf>
    <xf numFmtId="2" fontId="11" fillId="0" borderId="17"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2" fontId="0" fillId="0" borderId="0" xfId="0" applyNumberFormat="1" applyAlignment="1">
      <alignment horizontal="left" vertical="center"/>
    </xf>
    <xf numFmtId="2" fontId="0" fillId="0" borderId="0" xfId="0" applyNumberFormat="1" applyFont="1" applyAlignment="1">
      <alignment horizontal="left" vertical="center"/>
    </xf>
    <xf numFmtId="2" fontId="13" fillId="0" borderId="0" xfId="0" applyNumberFormat="1" applyFont="1" applyBorder="1" applyAlignment="1">
      <alignment horizontal="center"/>
    </xf>
    <xf numFmtId="2" fontId="15" fillId="0" borderId="16" xfId="0" applyNumberFormat="1" applyFont="1" applyBorder="1" applyAlignment="1">
      <alignment horizontal="center" vertical="center" wrapText="1"/>
    </xf>
    <xf numFmtId="2" fontId="15" fillId="0" borderId="25" xfId="0" applyNumberFormat="1" applyFont="1" applyBorder="1" applyAlignment="1">
      <alignment horizontal="center" vertical="center" wrapText="1"/>
    </xf>
    <xf numFmtId="2" fontId="15" fillId="0" borderId="15" xfId="0" applyNumberFormat="1" applyFont="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2" fontId="64" fillId="0" borderId="11" xfId="0" applyNumberFormat="1" applyFont="1" applyBorder="1" applyAlignment="1">
      <alignment horizontal="center" vertical="center" wrapText="1"/>
    </xf>
    <xf numFmtId="2" fontId="64" fillId="0" borderId="13" xfId="0" applyNumberFormat="1" applyFont="1" applyBorder="1" applyAlignment="1">
      <alignment horizontal="center" vertical="center" wrapText="1"/>
    </xf>
    <xf numFmtId="2" fontId="15" fillId="0" borderId="0" xfId="0" applyNumberFormat="1" applyFont="1" applyBorder="1" applyAlignment="1">
      <alignment horizontal="center" wrapText="1"/>
    </xf>
    <xf numFmtId="2" fontId="11" fillId="0" borderId="22"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19" xfId="0" applyNumberFormat="1" applyFont="1" applyBorder="1" applyAlignment="1">
      <alignment horizontal="center" vertical="center" wrapText="1"/>
    </xf>
    <xf numFmtId="2" fontId="11" fillId="0" borderId="16" xfId="0" applyNumberFormat="1" applyFont="1" applyBorder="1" applyAlignment="1">
      <alignment horizontal="center" vertical="center" wrapText="1"/>
    </xf>
    <xf numFmtId="2" fontId="11" fillId="0" borderId="15" xfId="0" applyNumberFormat="1" applyFont="1" applyBorder="1" applyAlignment="1">
      <alignment horizontal="center" vertical="center" wrapText="1"/>
    </xf>
    <xf numFmtId="2" fontId="5" fillId="0" borderId="0" xfId="0" applyNumberFormat="1" applyFont="1" applyBorder="1" applyAlignment="1">
      <alignment horizontal="center"/>
    </xf>
    <xf numFmtId="2" fontId="3" fillId="0" borderId="0" xfId="0" applyNumberFormat="1" applyFont="1" applyBorder="1" applyAlignment="1">
      <alignment horizontal="center"/>
    </xf>
    <xf numFmtId="2" fontId="60" fillId="0" borderId="16" xfId="0" applyNumberFormat="1" applyFont="1" applyBorder="1" applyAlignment="1">
      <alignment horizontal="center" vertical="center"/>
    </xf>
    <xf numFmtId="2" fontId="60" fillId="0" borderId="15" xfId="0" applyNumberFormat="1" applyFont="1" applyBorder="1" applyAlignment="1">
      <alignment horizontal="center" vertical="center"/>
    </xf>
    <xf numFmtId="2" fontId="15" fillId="0" borderId="28" xfId="0" applyNumberFormat="1" applyFont="1" applyBorder="1" applyAlignment="1">
      <alignment horizontal="center" vertical="center" wrapText="1"/>
    </xf>
    <xf numFmtId="2" fontId="15" fillId="0" borderId="27" xfId="0" applyNumberFormat="1" applyFont="1" applyBorder="1" applyAlignment="1">
      <alignment horizontal="center" vertical="center" wrapText="1"/>
    </xf>
    <xf numFmtId="2" fontId="15" fillId="0" borderId="14" xfId="0" applyNumberFormat="1" applyFont="1" applyBorder="1" applyAlignment="1">
      <alignment horizontal="center" vertical="center" wrapText="1"/>
    </xf>
    <xf numFmtId="2" fontId="15" fillId="0" borderId="26" xfId="0" applyNumberFormat="1" applyFont="1" applyBorder="1" applyAlignment="1">
      <alignment horizontal="center" vertical="center" wrapText="1"/>
    </xf>
    <xf numFmtId="2" fontId="15" fillId="0" borderId="22" xfId="0" applyNumberFormat="1" applyFont="1" applyBorder="1" applyAlignment="1">
      <alignment horizontal="center" vertical="center" wrapText="1"/>
    </xf>
    <xf numFmtId="2" fontId="15" fillId="0" borderId="19" xfId="0" applyNumberFormat="1" applyFont="1" applyBorder="1" applyAlignment="1">
      <alignment horizontal="center" vertical="center" wrapText="1"/>
    </xf>
    <xf numFmtId="2" fontId="15" fillId="0" borderId="16"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2" fontId="2" fillId="0" borderId="0" xfId="0" applyNumberFormat="1" applyFont="1" applyBorder="1" applyAlignment="1">
      <alignment horizontal="center"/>
    </xf>
    <xf numFmtId="2" fontId="13" fillId="0" borderId="0" xfId="0" applyNumberFormat="1" applyFont="1" applyBorder="1" applyAlignment="1">
      <alignment horizontal="center" vertical="center"/>
    </xf>
    <xf numFmtId="2" fontId="5" fillId="0" borderId="0" xfId="0" applyNumberFormat="1" applyFont="1" applyBorder="1" applyAlignment="1">
      <alignment horizontal="left"/>
    </xf>
    <xf numFmtId="2" fontId="22" fillId="0" borderId="0" xfId="0" applyNumberFormat="1" applyFont="1" applyAlignment="1">
      <alignment horizontal="center"/>
    </xf>
    <xf numFmtId="49" fontId="10" fillId="0" borderId="16" xfId="0" applyNumberFormat="1" applyFont="1" applyBorder="1" applyAlignment="1">
      <alignment horizontal="center"/>
    </xf>
    <xf numFmtId="49" fontId="10" fillId="0" borderId="15" xfId="0" applyNumberFormat="1" applyFont="1" applyBorder="1" applyAlignment="1">
      <alignment horizontal="center"/>
    </xf>
    <xf numFmtId="49" fontId="34" fillId="0" borderId="16" xfId="0" applyNumberFormat="1" applyFont="1" applyBorder="1" applyAlignment="1">
      <alignment horizontal="center"/>
    </xf>
    <xf numFmtId="49" fontId="34" fillId="0" borderId="15" xfId="0" applyNumberFormat="1" applyFont="1" applyBorder="1" applyAlignment="1">
      <alignment horizontal="center"/>
    </xf>
    <xf numFmtId="2" fontId="31" fillId="0" borderId="0" xfId="0" applyNumberFormat="1" applyFont="1" applyBorder="1" applyAlignment="1">
      <alignment horizontal="center" wrapText="1"/>
    </xf>
    <xf numFmtId="2" fontId="21" fillId="0" borderId="0" xfId="0" applyNumberFormat="1" applyFont="1" applyBorder="1" applyAlignment="1">
      <alignment horizontal="center" vertical="center" wrapText="1"/>
    </xf>
    <xf numFmtId="2" fontId="21" fillId="0" borderId="0" xfId="0" applyNumberFormat="1" applyFont="1" applyBorder="1" applyAlignment="1">
      <alignment horizontal="center" vertical="center"/>
    </xf>
    <xf numFmtId="2" fontId="13" fillId="0" borderId="0" xfId="0" applyNumberFormat="1" applyFont="1" applyBorder="1" applyAlignment="1">
      <alignment horizontal="right"/>
    </xf>
    <xf numFmtId="2" fontId="0" fillId="0" borderId="0" xfId="0" applyNumberFormat="1" applyFont="1" applyAlignment="1">
      <alignment horizontal="left" vertical="center"/>
    </xf>
    <xf numFmtId="2" fontId="0" fillId="0" borderId="0" xfId="0" applyNumberFormat="1" applyFont="1" applyAlignment="1">
      <alignment horizontal="left" vertical="center"/>
    </xf>
    <xf numFmtId="41" fontId="10" fillId="20" borderId="10" xfId="0" applyNumberFormat="1" applyFont="1" applyFill="1" applyBorder="1" applyAlignment="1">
      <alignment horizontal="center"/>
    </xf>
    <xf numFmtId="41" fontId="15" fillId="24" borderId="10"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19300" y="2000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48650"/>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305675"/>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10639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10639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2477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2477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2477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5525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5525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23850"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352425"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04800" y="8801100"/>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04800" y="71342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04800" y="71342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38</xdr:row>
      <xdr:rowOff>0</xdr:rowOff>
    </xdr:from>
    <xdr:ext cx="85725" cy="0"/>
    <xdr:sp>
      <xdr:nvSpPr>
        <xdr:cNvPr id="1" name="Text Box 1"/>
        <xdr:cNvSpPr txBox="1">
          <a:spLocks noChangeArrowheads="1"/>
        </xdr:cNvSpPr>
      </xdr:nvSpPr>
      <xdr:spPr>
        <a:xfrm>
          <a:off x="352425" y="76200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276225" y="0"/>
          <a:ext cx="1514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0970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16205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27622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0970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105251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105251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10" t="s">
        <v>18</v>
      </c>
      <c r="B1" s="810"/>
      <c r="C1" s="809" t="s">
        <v>79</v>
      </c>
      <c r="D1" s="809"/>
      <c r="E1" s="809"/>
      <c r="F1" s="811" t="s">
        <v>75</v>
      </c>
      <c r="G1" s="811"/>
      <c r="H1" s="811"/>
    </row>
    <row r="2" spans="1:8" ht="33.75" customHeight="1">
      <c r="A2" s="812" t="s">
        <v>83</v>
      </c>
      <c r="B2" s="812"/>
      <c r="C2" s="809"/>
      <c r="D2" s="809"/>
      <c r="E2" s="809"/>
      <c r="F2" s="815" t="s">
        <v>76</v>
      </c>
      <c r="G2" s="815"/>
      <c r="H2" s="815"/>
    </row>
    <row r="3" spans="1:8" ht="19.5" customHeight="1">
      <c r="A3" s="12" t="s">
        <v>69</v>
      </c>
      <c r="B3" s="12"/>
      <c r="C3" s="30"/>
      <c r="D3" s="30"/>
      <c r="E3" s="30"/>
      <c r="F3" s="815" t="s">
        <v>77</v>
      </c>
      <c r="G3" s="815"/>
      <c r="H3" s="815"/>
    </row>
    <row r="4" spans="1:8" s="13" customFormat="1" ht="19.5" customHeight="1">
      <c r="A4" s="12"/>
      <c r="B4" s="12"/>
      <c r="D4" s="14"/>
      <c r="F4" s="15" t="s">
        <v>78</v>
      </c>
      <c r="G4" s="15"/>
      <c r="H4" s="15"/>
    </row>
    <row r="5" spans="1:8" s="29" customFormat="1" ht="36" customHeight="1">
      <c r="A5" s="824" t="s">
        <v>61</v>
      </c>
      <c r="B5" s="825"/>
      <c r="C5" s="828" t="s">
        <v>73</v>
      </c>
      <c r="D5" s="829"/>
      <c r="E5" s="830" t="s">
        <v>72</v>
      </c>
      <c r="F5" s="830"/>
      <c r="G5" s="830"/>
      <c r="H5" s="831"/>
    </row>
    <row r="6" spans="1:8" s="29" customFormat="1" ht="20.25" customHeight="1">
      <c r="A6" s="826"/>
      <c r="B6" s="827"/>
      <c r="C6" s="832" t="s">
        <v>2</v>
      </c>
      <c r="D6" s="832" t="s">
        <v>80</v>
      </c>
      <c r="E6" s="834" t="s">
        <v>74</v>
      </c>
      <c r="F6" s="831"/>
      <c r="G6" s="834" t="s">
        <v>81</v>
      </c>
      <c r="H6" s="831"/>
    </row>
    <row r="7" spans="1:8" s="29" customFormat="1" ht="52.5" customHeight="1">
      <c r="A7" s="826"/>
      <c r="B7" s="827"/>
      <c r="C7" s="833"/>
      <c r="D7" s="833"/>
      <c r="E7" s="11" t="s">
        <v>2</v>
      </c>
      <c r="F7" s="11" t="s">
        <v>10</v>
      </c>
      <c r="G7" s="11" t="s">
        <v>2</v>
      </c>
      <c r="H7" s="11" t="s">
        <v>10</v>
      </c>
    </row>
    <row r="8" spans="1:8" ht="15" customHeight="1">
      <c r="A8" s="817" t="s">
        <v>5</v>
      </c>
      <c r="B8" s="818"/>
      <c r="C8" s="16">
        <v>1</v>
      </c>
      <c r="D8" s="16" t="s">
        <v>38</v>
      </c>
      <c r="E8" s="16" t="s">
        <v>43</v>
      </c>
      <c r="F8" s="16" t="s">
        <v>62</v>
      </c>
      <c r="G8" s="16" t="s">
        <v>63</v>
      </c>
      <c r="H8" s="16" t="s">
        <v>64</v>
      </c>
    </row>
    <row r="9" spans="1:8" ht="26.25" customHeight="1">
      <c r="A9" s="819" t="s">
        <v>29</v>
      </c>
      <c r="B9" s="820"/>
      <c r="C9" s="16"/>
      <c r="D9" s="16"/>
      <c r="E9" s="16"/>
      <c r="F9" s="16"/>
      <c r="G9" s="16"/>
      <c r="H9" s="16"/>
    </row>
    <row r="10" spans="1:8" ht="24.75" customHeight="1">
      <c r="A10" s="17" t="s">
        <v>0</v>
      </c>
      <c r="B10" s="18" t="s">
        <v>11</v>
      </c>
      <c r="C10" s="10"/>
      <c r="D10" s="19"/>
      <c r="E10" s="19"/>
      <c r="F10" s="19"/>
      <c r="G10" s="19"/>
      <c r="H10" s="19"/>
    </row>
    <row r="11" spans="1:8" ht="24.75" customHeight="1">
      <c r="A11" s="20" t="s">
        <v>1</v>
      </c>
      <c r="B11" s="21" t="s">
        <v>12</v>
      </c>
      <c r="C11" s="10"/>
      <c r="D11" s="19"/>
      <c r="E11" s="19"/>
      <c r="F11" s="19"/>
      <c r="G11" s="19"/>
      <c r="H11" s="19"/>
    </row>
    <row r="12" spans="1:8" ht="24.75" customHeight="1">
      <c r="A12" s="22" t="s">
        <v>37</v>
      </c>
      <c r="B12" s="10" t="s">
        <v>13</v>
      </c>
      <c r="C12" s="10"/>
      <c r="D12" s="19"/>
      <c r="E12" s="19"/>
      <c r="F12" s="19"/>
      <c r="G12" s="19"/>
      <c r="H12" s="19"/>
    </row>
    <row r="13" spans="1:8" ht="24.75" customHeight="1">
      <c r="A13" s="22" t="s">
        <v>38</v>
      </c>
      <c r="B13" s="10" t="s">
        <v>13</v>
      </c>
      <c r="C13" s="10"/>
      <c r="D13" s="19"/>
      <c r="E13" s="19"/>
      <c r="F13" s="19"/>
      <c r="G13" s="19"/>
      <c r="H13" s="19"/>
    </row>
    <row r="14" spans="1:8" ht="24.75" customHeight="1">
      <c r="A14" s="22" t="s">
        <v>43</v>
      </c>
      <c r="B14" s="10" t="s">
        <v>13</v>
      </c>
      <c r="C14" s="10"/>
      <c r="D14" s="19"/>
      <c r="E14" s="19"/>
      <c r="F14" s="19"/>
      <c r="G14" s="19"/>
      <c r="H14" s="19"/>
    </row>
    <row r="15" spans="1:8" ht="24.75" customHeight="1">
      <c r="A15" s="22" t="s">
        <v>15</v>
      </c>
      <c r="B15" s="31" t="s">
        <v>15</v>
      </c>
      <c r="C15" s="23"/>
      <c r="D15" s="24"/>
      <c r="E15" s="24"/>
      <c r="F15" s="24"/>
      <c r="G15" s="24"/>
      <c r="H15" s="24"/>
    </row>
    <row r="16" spans="2:8" ht="16.5" customHeight="1">
      <c r="B16" s="813" t="s">
        <v>57</v>
      </c>
      <c r="C16" s="813"/>
      <c r="D16" s="32"/>
      <c r="E16" s="821" t="s">
        <v>16</v>
      </c>
      <c r="F16" s="821"/>
      <c r="G16" s="821"/>
      <c r="H16" s="821"/>
    </row>
    <row r="17" spans="2:8" ht="15.75" customHeight="1">
      <c r="B17" s="813"/>
      <c r="C17" s="813"/>
      <c r="D17" s="32"/>
      <c r="E17" s="822" t="s">
        <v>32</v>
      </c>
      <c r="F17" s="822"/>
      <c r="G17" s="822"/>
      <c r="H17" s="822"/>
    </row>
    <row r="18" spans="2:8" s="33" customFormat="1" ht="15.75" customHeight="1">
      <c r="B18" s="813"/>
      <c r="C18" s="813"/>
      <c r="D18" s="34"/>
      <c r="E18" s="823" t="s">
        <v>56</v>
      </c>
      <c r="F18" s="823"/>
      <c r="G18" s="823"/>
      <c r="H18" s="823"/>
    </row>
    <row r="20" ht="15.75">
      <c r="B20" s="25"/>
    </row>
    <row r="22" ht="15.75" hidden="1">
      <c r="A22" s="26" t="s">
        <v>34</v>
      </c>
    </row>
    <row r="23" spans="1:3" ht="15.75" hidden="1">
      <c r="A23" s="27"/>
      <c r="B23" s="814" t="s">
        <v>47</v>
      </c>
      <c r="C23" s="814"/>
    </row>
    <row r="24" spans="1:8" ht="15.75" customHeight="1" hidden="1">
      <c r="A24" s="28" t="s">
        <v>17</v>
      </c>
      <c r="B24" s="816" t="s">
        <v>52</v>
      </c>
      <c r="C24" s="816"/>
      <c r="D24" s="28"/>
      <c r="E24" s="28"/>
      <c r="F24" s="28"/>
      <c r="G24" s="28"/>
      <c r="H24" s="28"/>
    </row>
    <row r="25" spans="1:8" ht="15" customHeight="1" hidden="1">
      <c r="A25" s="28"/>
      <c r="B25" s="816" t="s">
        <v>55</v>
      </c>
      <c r="C25" s="816"/>
      <c r="D25" s="816"/>
      <c r="E25" s="28"/>
      <c r="F25" s="28"/>
      <c r="G25" s="28"/>
      <c r="H25" s="28"/>
    </row>
    <row r="26" spans="2:3" ht="15.75">
      <c r="B26" s="29"/>
      <c r="C26" s="29"/>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0"/>
  </sheetPr>
  <dimension ref="A1:U31"/>
  <sheetViews>
    <sheetView workbookViewId="0" topLeftCell="A10">
      <selection activeCell="H21" sqref="H21"/>
    </sheetView>
  </sheetViews>
  <sheetFormatPr defaultColWidth="9.00390625" defaultRowHeight="15.75"/>
  <cols>
    <col min="1" max="1" width="3.00390625" style="0" customWidth="1"/>
    <col min="2" max="2" width="23.00390625" style="0" customWidth="1"/>
    <col min="3" max="3" width="5.75390625" style="0" customWidth="1"/>
    <col min="4" max="4" width="5.625" style="0" customWidth="1"/>
    <col min="5" max="6" width="6.00390625" style="0" customWidth="1"/>
    <col min="7" max="7" width="6.125" style="0" customWidth="1"/>
    <col min="8" max="8" width="5.75390625" style="0" customWidth="1"/>
    <col min="9" max="9" width="6.25390625" style="0" customWidth="1"/>
    <col min="10" max="10" width="5.625" style="0" customWidth="1"/>
    <col min="11" max="11" width="5.875" style="0" customWidth="1"/>
    <col min="12" max="12" width="5.75390625" style="0" customWidth="1"/>
    <col min="13" max="14" width="4.875" style="0" customWidth="1"/>
    <col min="15" max="15" width="5.625" style="0" customWidth="1"/>
    <col min="16" max="17" width="5.75390625" style="0" customWidth="1"/>
    <col min="18" max="18" width="5.25390625" style="0" customWidth="1"/>
    <col min="19" max="19" width="5.00390625" style="0" customWidth="1"/>
    <col min="20" max="20" width="5.25390625" style="0" customWidth="1"/>
    <col min="21" max="21" width="4.625" style="0" customWidth="1"/>
  </cols>
  <sheetData>
    <row r="1" spans="1:21" ht="15.75">
      <c r="A1" s="853" t="s">
        <v>365</v>
      </c>
      <c r="B1" s="853"/>
      <c r="C1" s="853"/>
      <c r="D1" s="853"/>
      <c r="E1" s="997" t="s">
        <v>366</v>
      </c>
      <c r="F1" s="997"/>
      <c r="G1" s="997"/>
      <c r="H1" s="997"/>
      <c r="I1" s="997"/>
      <c r="J1" s="997"/>
      <c r="K1" s="997"/>
      <c r="L1" s="997"/>
      <c r="M1" s="997"/>
      <c r="N1" s="997"/>
      <c r="O1" s="997"/>
      <c r="P1" s="49"/>
      <c r="Q1" s="998" t="s">
        <v>358</v>
      </c>
      <c r="R1" s="999"/>
      <c r="S1" s="999"/>
      <c r="T1" s="999"/>
      <c r="U1" s="999"/>
    </row>
    <row r="2" spans="1:21" ht="15.75">
      <c r="A2" s="130" t="s">
        <v>247</v>
      </c>
      <c r="B2" s="63"/>
      <c r="C2" s="63"/>
      <c r="D2" s="63"/>
      <c r="E2" s="997"/>
      <c r="F2" s="997"/>
      <c r="G2" s="997"/>
      <c r="H2" s="997"/>
      <c r="I2" s="997"/>
      <c r="J2" s="997"/>
      <c r="K2" s="997"/>
      <c r="L2" s="997"/>
      <c r="M2" s="997"/>
      <c r="N2" s="997"/>
      <c r="O2" s="997"/>
      <c r="P2" s="49"/>
      <c r="Q2" s="307" t="str">
        <f>'Thông tin'!B3</f>
        <v>Cục THADS tỉnh Bình Thuận</v>
      </c>
      <c r="R2" s="307"/>
      <c r="S2" s="307"/>
      <c r="T2" s="581"/>
      <c r="U2" s="49"/>
    </row>
    <row r="3" spans="1:21" ht="16.5">
      <c r="A3" s="143" t="s">
        <v>248</v>
      </c>
      <c r="B3" s="130"/>
      <c r="C3" s="130"/>
      <c r="D3" s="130"/>
      <c r="E3" s="1000" t="str">
        <f>'Thông tin'!B2</f>
        <v>6 tháng / năm 2016</v>
      </c>
      <c r="F3" s="1000"/>
      <c r="G3" s="1000"/>
      <c r="H3" s="1000"/>
      <c r="I3" s="1000"/>
      <c r="J3" s="1000"/>
      <c r="K3" s="1000"/>
      <c r="L3" s="1000"/>
      <c r="M3" s="1000"/>
      <c r="N3" s="1000"/>
      <c r="O3" s="1000"/>
      <c r="P3" s="49"/>
      <c r="Q3" s="1001" t="s">
        <v>359</v>
      </c>
      <c r="R3" s="1002"/>
      <c r="S3" s="1002"/>
      <c r="T3" s="1002"/>
      <c r="U3" s="1002"/>
    </row>
    <row r="4" spans="1:21" ht="15.75">
      <c r="A4" s="345" t="s">
        <v>198</v>
      </c>
      <c r="B4" s="345"/>
      <c r="C4" s="345"/>
      <c r="D4" s="345"/>
      <c r="E4" s="1003" t="s">
        <v>363</v>
      </c>
      <c r="F4" s="1003"/>
      <c r="G4" s="1003"/>
      <c r="H4" s="1003"/>
      <c r="I4" s="1003"/>
      <c r="J4" s="1003"/>
      <c r="K4" s="1003"/>
      <c r="L4" s="1003"/>
      <c r="M4" s="1003"/>
      <c r="N4" s="1003"/>
      <c r="O4" s="1003"/>
      <c r="P4" s="49"/>
      <c r="Q4" s="307" t="s">
        <v>350</v>
      </c>
      <c r="R4" s="307"/>
      <c r="S4" s="307"/>
      <c r="T4" s="130"/>
      <c r="U4" s="49"/>
    </row>
    <row r="5" spans="1:21" ht="15.75">
      <c r="A5" s="62"/>
      <c r="B5" s="62"/>
      <c r="C5" s="62"/>
      <c r="D5" s="62"/>
      <c r="E5" s="49"/>
      <c r="F5" s="49"/>
      <c r="G5" s="49"/>
      <c r="H5" s="49"/>
      <c r="I5" s="49"/>
      <c r="J5" s="49"/>
      <c r="K5" s="49"/>
      <c r="L5" s="49"/>
      <c r="M5" s="49"/>
      <c r="N5" s="49"/>
      <c r="O5" s="49"/>
      <c r="P5" s="49"/>
      <c r="Q5" s="1004" t="s">
        <v>367</v>
      </c>
      <c r="R5" s="1004"/>
      <c r="S5" s="1004"/>
      <c r="T5" s="1004"/>
      <c r="U5" s="1004"/>
    </row>
    <row r="6" spans="1:21" ht="25.5" customHeight="1">
      <c r="A6" s="1005" t="s">
        <v>61</v>
      </c>
      <c r="B6" s="1006"/>
      <c r="C6" s="1011" t="s">
        <v>368</v>
      </c>
      <c r="D6" s="1012"/>
      <c r="E6" s="1013"/>
      <c r="F6" s="1016" t="s">
        <v>369</v>
      </c>
      <c r="G6" s="1017"/>
      <c r="H6" s="1017"/>
      <c r="I6" s="1017"/>
      <c r="J6" s="1017"/>
      <c r="K6" s="1017"/>
      <c r="L6" s="1017"/>
      <c r="M6" s="1017"/>
      <c r="N6" s="1017"/>
      <c r="O6" s="1018"/>
      <c r="P6" s="1019" t="s">
        <v>370</v>
      </c>
      <c r="Q6" s="1019"/>
      <c r="R6" s="1019"/>
      <c r="S6" s="1019"/>
      <c r="T6" s="1019"/>
      <c r="U6" s="1019"/>
    </row>
    <row r="7" spans="1:21" ht="15.75">
      <c r="A7" s="1007"/>
      <c r="B7" s="1008"/>
      <c r="C7" s="1014"/>
      <c r="D7" s="1015"/>
      <c r="E7" s="1015"/>
      <c r="F7" s="1020" t="s">
        <v>371</v>
      </c>
      <c r="G7" s="1021"/>
      <c r="H7" s="1022"/>
      <c r="I7" s="1026" t="s">
        <v>200</v>
      </c>
      <c r="J7" s="1026"/>
      <c r="K7" s="1026"/>
      <c r="L7" s="1026"/>
      <c r="M7" s="1026"/>
      <c r="N7" s="1026"/>
      <c r="O7" s="1026"/>
      <c r="P7" s="1027" t="s">
        <v>372</v>
      </c>
      <c r="Q7" s="1030" t="s">
        <v>6</v>
      </c>
      <c r="R7" s="1031"/>
      <c r="S7" s="1031"/>
      <c r="T7" s="1031"/>
      <c r="U7" s="1032"/>
    </row>
    <row r="8" spans="1:21" ht="24.75" customHeight="1">
      <c r="A8" s="1007"/>
      <c r="B8" s="1008"/>
      <c r="C8" s="1014"/>
      <c r="D8" s="1015"/>
      <c r="E8" s="1015"/>
      <c r="F8" s="1023"/>
      <c r="G8" s="1024"/>
      <c r="H8" s="1025"/>
      <c r="I8" s="1026" t="s">
        <v>201</v>
      </c>
      <c r="J8" s="1026"/>
      <c r="K8" s="1026"/>
      <c r="L8" s="1026" t="s">
        <v>373</v>
      </c>
      <c r="M8" s="1026"/>
      <c r="N8" s="1026"/>
      <c r="O8" s="1026"/>
      <c r="P8" s="1028"/>
      <c r="Q8" s="1027" t="s">
        <v>203</v>
      </c>
      <c r="R8" s="1027" t="s">
        <v>374</v>
      </c>
      <c r="S8" s="1027" t="s">
        <v>375</v>
      </c>
      <c r="T8" s="1027" t="s">
        <v>376</v>
      </c>
      <c r="U8" s="1027" t="s">
        <v>377</v>
      </c>
    </row>
    <row r="9" spans="1:21" ht="15.75">
      <c r="A9" s="1007"/>
      <c r="B9" s="1008"/>
      <c r="C9" s="1027" t="s">
        <v>378</v>
      </c>
      <c r="D9" s="1020" t="s">
        <v>6</v>
      </c>
      <c r="E9" s="1021"/>
      <c r="F9" s="1027" t="s">
        <v>379</v>
      </c>
      <c r="G9" s="1035" t="s">
        <v>6</v>
      </c>
      <c r="H9" s="1037"/>
      <c r="I9" s="1027" t="s">
        <v>380</v>
      </c>
      <c r="J9" s="1035" t="s">
        <v>6</v>
      </c>
      <c r="K9" s="1021"/>
      <c r="L9" s="1027" t="s">
        <v>379</v>
      </c>
      <c r="M9" s="1035" t="s">
        <v>6</v>
      </c>
      <c r="N9" s="1036"/>
      <c r="O9" s="1037"/>
      <c r="P9" s="1028"/>
      <c r="Q9" s="1028"/>
      <c r="R9" s="1033"/>
      <c r="S9" s="1039"/>
      <c r="T9" s="1028"/>
      <c r="U9" s="1028"/>
    </row>
    <row r="10" spans="1:21" ht="15.75">
      <c r="A10" s="1007"/>
      <c r="B10" s="1008"/>
      <c r="C10" s="1028"/>
      <c r="D10" s="1027" t="s">
        <v>381</v>
      </c>
      <c r="E10" s="1027" t="s">
        <v>382</v>
      </c>
      <c r="F10" s="1033"/>
      <c r="G10" s="1041" t="s">
        <v>383</v>
      </c>
      <c r="H10" s="1028" t="s">
        <v>384</v>
      </c>
      <c r="I10" s="1033"/>
      <c r="J10" s="1028" t="s">
        <v>385</v>
      </c>
      <c r="K10" s="1026" t="s">
        <v>386</v>
      </c>
      <c r="L10" s="1028"/>
      <c r="M10" s="1026" t="s">
        <v>387</v>
      </c>
      <c r="N10" s="1026" t="s">
        <v>388</v>
      </c>
      <c r="O10" s="1026" t="s">
        <v>389</v>
      </c>
      <c r="P10" s="1028"/>
      <c r="Q10" s="1028"/>
      <c r="R10" s="1033"/>
      <c r="S10" s="1039"/>
      <c r="T10" s="1028"/>
      <c r="U10" s="1028"/>
    </row>
    <row r="11" spans="1:21" ht="78.75" customHeight="1">
      <c r="A11" s="1009"/>
      <c r="B11" s="1010"/>
      <c r="C11" s="1029"/>
      <c r="D11" s="1029"/>
      <c r="E11" s="1029"/>
      <c r="F11" s="1034"/>
      <c r="G11" s="1023"/>
      <c r="H11" s="1029"/>
      <c r="I11" s="1034"/>
      <c r="J11" s="1029"/>
      <c r="K11" s="1038"/>
      <c r="L11" s="1029"/>
      <c r="M11" s="1026"/>
      <c r="N11" s="1026"/>
      <c r="O11" s="1026"/>
      <c r="P11" s="1029"/>
      <c r="Q11" s="1029"/>
      <c r="R11" s="1034"/>
      <c r="S11" s="1040"/>
      <c r="T11" s="1029"/>
      <c r="U11" s="1029"/>
    </row>
    <row r="12" spans="1:21" ht="12" customHeight="1">
      <c r="A12" s="347"/>
      <c r="B12" s="348" t="s">
        <v>215</v>
      </c>
      <c r="C12" s="349">
        <v>1</v>
      </c>
      <c r="D12" s="350">
        <v>2</v>
      </c>
      <c r="E12" s="349">
        <v>3</v>
      </c>
      <c r="F12" s="350">
        <v>4</v>
      </c>
      <c r="G12" s="349">
        <v>5</v>
      </c>
      <c r="H12" s="350">
        <v>6</v>
      </c>
      <c r="I12" s="349">
        <v>7</v>
      </c>
      <c r="J12" s="350">
        <v>8</v>
      </c>
      <c r="K12" s="349">
        <v>9</v>
      </c>
      <c r="L12" s="350">
        <v>10</v>
      </c>
      <c r="M12" s="349">
        <v>11</v>
      </c>
      <c r="N12" s="350">
        <v>12</v>
      </c>
      <c r="O12" s="349">
        <v>13</v>
      </c>
      <c r="P12" s="350">
        <v>14</v>
      </c>
      <c r="Q12" s="349">
        <v>15</v>
      </c>
      <c r="R12" s="350">
        <v>16</v>
      </c>
      <c r="S12" s="349">
        <v>17</v>
      </c>
      <c r="T12" s="350">
        <v>18</v>
      </c>
      <c r="U12" s="349">
        <v>19</v>
      </c>
    </row>
    <row r="13" spans="1:21" ht="19.5" customHeight="1">
      <c r="A13" s="1042" t="s">
        <v>27</v>
      </c>
      <c r="B13" s="1043"/>
      <c r="C13" s="346">
        <f>C14+C15</f>
        <v>4</v>
      </c>
      <c r="D13" s="346">
        <f aca="true" t="shared" si="0" ref="D13:U13">D14+D15</f>
        <v>1</v>
      </c>
      <c r="E13" s="346">
        <f t="shared" si="0"/>
        <v>3</v>
      </c>
      <c r="F13" s="346">
        <f t="shared" si="0"/>
        <v>4</v>
      </c>
      <c r="G13" s="346">
        <f t="shared" si="0"/>
        <v>1</v>
      </c>
      <c r="H13" s="346">
        <f t="shared" si="0"/>
        <v>3</v>
      </c>
      <c r="I13" s="346">
        <f t="shared" si="0"/>
        <v>4</v>
      </c>
      <c r="J13" s="346">
        <f t="shared" si="0"/>
        <v>3</v>
      </c>
      <c r="K13" s="346">
        <f t="shared" si="0"/>
        <v>1</v>
      </c>
      <c r="L13" s="346">
        <f t="shared" si="0"/>
        <v>0</v>
      </c>
      <c r="M13" s="346">
        <f t="shared" si="0"/>
        <v>0</v>
      </c>
      <c r="N13" s="346">
        <f t="shared" si="0"/>
        <v>0</v>
      </c>
      <c r="O13" s="346">
        <f t="shared" si="0"/>
        <v>0</v>
      </c>
      <c r="P13" s="346">
        <f t="shared" si="0"/>
        <v>4</v>
      </c>
      <c r="Q13" s="346">
        <f t="shared" si="0"/>
        <v>1</v>
      </c>
      <c r="R13" s="346">
        <f t="shared" si="0"/>
        <v>1</v>
      </c>
      <c r="S13" s="346">
        <f t="shared" si="0"/>
        <v>0</v>
      </c>
      <c r="T13" s="346">
        <f t="shared" si="0"/>
        <v>0</v>
      </c>
      <c r="U13" s="346">
        <f t="shared" si="0"/>
        <v>2</v>
      </c>
    </row>
    <row r="14" spans="1:21" ht="15.75">
      <c r="A14" s="607" t="s">
        <v>0</v>
      </c>
      <c r="B14" s="589" t="s">
        <v>390</v>
      </c>
      <c r="C14" s="609">
        <f>D14+E14</f>
        <v>4</v>
      </c>
      <c r="D14" s="615">
        <v>1</v>
      </c>
      <c r="E14" s="615">
        <v>3</v>
      </c>
      <c r="F14" s="609">
        <f>G14+H14</f>
        <v>4</v>
      </c>
      <c r="G14" s="632">
        <v>1</v>
      </c>
      <c r="H14" s="632">
        <v>3</v>
      </c>
      <c r="I14" s="633">
        <f>J14+K14+L14</f>
        <v>4</v>
      </c>
      <c r="J14" s="610">
        <v>3</v>
      </c>
      <c r="K14" s="610">
        <v>1</v>
      </c>
      <c r="L14" s="609">
        <f>M14+N14+O14</f>
        <v>0</v>
      </c>
      <c r="M14" s="610">
        <v>0</v>
      </c>
      <c r="N14" s="610">
        <v>0</v>
      </c>
      <c r="O14" s="610">
        <v>0</v>
      </c>
      <c r="P14" s="609">
        <f>Q14+R14+S14+T14+U14</f>
        <v>4</v>
      </c>
      <c r="Q14" s="610">
        <v>1</v>
      </c>
      <c r="R14" s="610">
        <v>1</v>
      </c>
      <c r="S14" s="610">
        <v>0</v>
      </c>
      <c r="T14" s="610">
        <v>0</v>
      </c>
      <c r="U14" s="610">
        <v>2</v>
      </c>
    </row>
    <row r="15" spans="1:21" ht="15.75">
      <c r="A15" s="608" t="s">
        <v>1</v>
      </c>
      <c r="B15" s="590" t="s">
        <v>14</v>
      </c>
      <c r="C15" s="609">
        <f>C16+C17+C18+C19+C20+C21+C22+C23+C24+C25</f>
        <v>0</v>
      </c>
      <c r="D15" s="609">
        <f aca="true" t="shared" si="1" ref="D15:U15">D16+D17+D18+D19+D20+D21+D22+D23+D24+D25</f>
        <v>0</v>
      </c>
      <c r="E15" s="609">
        <f t="shared" si="1"/>
        <v>0</v>
      </c>
      <c r="F15" s="609">
        <f t="shared" si="1"/>
        <v>0</v>
      </c>
      <c r="G15" s="609">
        <f t="shared" si="1"/>
        <v>0</v>
      </c>
      <c r="H15" s="609">
        <f t="shared" si="1"/>
        <v>0</v>
      </c>
      <c r="I15" s="609">
        <f t="shared" si="1"/>
        <v>0</v>
      </c>
      <c r="J15" s="609">
        <f t="shared" si="1"/>
        <v>0</v>
      </c>
      <c r="K15" s="609">
        <f t="shared" si="1"/>
        <v>0</v>
      </c>
      <c r="L15" s="609">
        <f t="shared" si="1"/>
        <v>0</v>
      </c>
      <c r="M15" s="609">
        <f t="shared" si="1"/>
        <v>0</v>
      </c>
      <c r="N15" s="609">
        <f t="shared" si="1"/>
        <v>0</v>
      </c>
      <c r="O15" s="609">
        <f t="shared" si="1"/>
        <v>0</v>
      </c>
      <c r="P15" s="609">
        <f t="shared" si="1"/>
        <v>0</v>
      </c>
      <c r="Q15" s="609">
        <f t="shared" si="1"/>
        <v>0</v>
      </c>
      <c r="R15" s="609">
        <f t="shared" si="1"/>
        <v>0</v>
      </c>
      <c r="S15" s="609">
        <f t="shared" si="1"/>
        <v>0</v>
      </c>
      <c r="T15" s="609">
        <f t="shared" si="1"/>
        <v>0</v>
      </c>
      <c r="U15" s="609">
        <f t="shared" si="1"/>
        <v>0</v>
      </c>
    </row>
    <row r="16" spans="1:21" ht="15.75">
      <c r="A16" s="623" t="s">
        <v>37</v>
      </c>
      <c r="B16" s="591" t="s">
        <v>330</v>
      </c>
      <c r="C16" s="634">
        <f>D16+E16</f>
        <v>0</v>
      </c>
      <c r="D16" s="615">
        <v>0</v>
      </c>
      <c r="E16" s="615">
        <v>0</v>
      </c>
      <c r="F16" s="634">
        <f>G16+H16</f>
        <v>0</v>
      </c>
      <c r="G16" s="632">
        <v>0</v>
      </c>
      <c r="H16" s="632">
        <v>0</v>
      </c>
      <c r="I16" s="635">
        <f>J16+K16</f>
        <v>0</v>
      </c>
      <c r="J16" s="610">
        <v>0</v>
      </c>
      <c r="K16" s="610">
        <v>0</v>
      </c>
      <c r="L16" s="634">
        <f>M16+N16+O16</f>
        <v>0</v>
      </c>
      <c r="M16" s="610">
        <v>0</v>
      </c>
      <c r="N16" s="610">
        <v>0</v>
      </c>
      <c r="O16" s="610">
        <v>0</v>
      </c>
      <c r="P16" s="634">
        <f>Q16+R16++S16+T16+U16</f>
        <v>0</v>
      </c>
      <c r="Q16" s="610">
        <v>0</v>
      </c>
      <c r="R16" s="610">
        <v>0</v>
      </c>
      <c r="S16" s="610">
        <v>0</v>
      </c>
      <c r="T16" s="610">
        <v>0</v>
      </c>
      <c r="U16" s="636">
        <v>0</v>
      </c>
    </row>
    <row r="17" spans="1:21" ht="15.75">
      <c r="A17" s="623" t="s">
        <v>38</v>
      </c>
      <c r="B17" s="591" t="s">
        <v>331</v>
      </c>
      <c r="C17" s="634">
        <f aca="true" t="shared" si="2" ref="C17:C25">D17+E17</f>
        <v>0</v>
      </c>
      <c r="D17" s="615">
        <v>0</v>
      </c>
      <c r="E17" s="615">
        <v>0</v>
      </c>
      <c r="F17" s="634">
        <f aca="true" t="shared" si="3" ref="F17:F25">G17+H17</f>
        <v>0</v>
      </c>
      <c r="G17" s="632">
        <v>0</v>
      </c>
      <c r="H17" s="632">
        <v>0</v>
      </c>
      <c r="I17" s="635">
        <f aca="true" t="shared" si="4" ref="I17:I25">J17+K17</f>
        <v>0</v>
      </c>
      <c r="J17" s="610">
        <v>0</v>
      </c>
      <c r="K17" s="610">
        <v>0</v>
      </c>
      <c r="L17" s="634">
        <f aca="true" t="shared" si="5" ref="L17:L25">M17+N17+O17</f>
        <v>0</v>
      </c>
      <c r="M17" s="610">
        <v>0</v>
      </c>
      <c r="N17" s="610">
        <v>0</v>
      </c>
      <c r="O17" s="610">
        <v>0</v>
      </c>
      <c r="P17" s="634">
        <f aca="true" t="shared" si="6" ref="P17:P25">Q17+R17++S17+T17+U17</f>
        <v>0</v>
      </c>
      <c r="Q17" s="610">
        <v>0</v>
      </c>
      <c r="R17" s="610">
        <v>0</v>
      </c>
      <c r="S17" s="610">
        <v>0</v>
      </c>
      <c r="T17" s="610">
        <v>0</v>
      </c>
      <c r="U17" s="636">
        <v>0</v>
      </c>
    </row>
    <row r="18" spans="1:21" ht="15.75">
      <c r="A18" s="623" t="s">
        <v>43</v>
      </c>
      <c r="B18" s="591" t="s">
        <v>332</v>
      </c>
      <c r="C18" s="634">
        <f t="shared" si="2"/>
        <v>0</v>
      </c>
      <c r="D18" s="615">
        <v>0</v>
      </c>
      <c r="E18" s="615">
        <v>0</v>
      </c>
      <c r="F18" s="634">
        <f t="shared" si="3"/>
        <v>0</v>
      </c>
      <c r="G18" s="632">
        <v>0</v>
      </c>
      <c r="H18" s="632">
        <v>0</v>
      </c>
      <c r="I18" s="635">
        <f t="shared" si="4"/>
        <v>0</v>
      </c>
      <c r="J18" s="610">
        <v>0</v>
      </c>
      <c r="K18" s="610">
        <v>0</v>
      </c>
      <c r="L18" s="634">
        <f t="shared" si="5"/>
        <v>0</v>
      </c>
      <c r="M18" s="610">
        <v>0</v>
      </c>
      <c r="N18" s="610">
        <v>0</v>
      </c>
      <c r="O18" s="610">
        <v>0</v>
      </c>
      <c r="P18" s="634">
        <f t="shared" si="6"/>
        <v>0</v>
      </c>
      <c r="Q18" s="610">
        <v>0</v>
      </c>
      <c r="R18" s="610">
        <v>0</v>
      </c>
      <c r="S18" s="610">
        <v>0</v>
      </c>
      <c r="T18" s="610">
        <v>0</v>
      </c>
      <c r="U18" s="636">
        <v>0</v>
      </c>
    </row>
    <row r="19" spans="1:21" ht="15.75">
      <c r="A19" s="623" t="s">
        <v>62</v>
      </c>
      <c r="B19" s="591" t="s">
        <v>333</v>
      </c>
      <c r="C19" s="634">
        <f t="shared" si="2"/>
        <v>0</v>
      </c>
      <c r="D19" s="637">
        <v>0</v>
      </c>
      <c r="E19" s="637">
        <v>0</v>
      </c>
      <c r="F19" s="634">
        <f t="shared" si="3"/>
        <v>0</v>
      </c>
      <c r="G19" s="632">
        <v>0</v>
      </c>
      <c r="H19" s="632">
        <v>0</v>
      </c>
      <c r="I19" s="635">
        <f t="shared" si="4"/>
        <v>0</v>
      </c>
      <c r="J19" s="610">
        <v>0</v>
      </c>
      <c r="K19" s="610">
        <v>0</v>
      </c>
      <c r="L19" s="634">
        <f t="shared" si="5"/>
        <v>0</v>
      </c>
      <c r="M19" s="610">
        <v>0</v>
      </c>
      <c r="N19" s="610">
        <v>0</v>
      </c>
      <c r="O19" s="610">
        <v>0</v>
      </c>
      <c r="P19" s="634">
        <f t="shared" si="6"/>
        <v>0</v>
      </c>
      <c r="Q19" s="610">
        <v>0</v>
      </c>
      <c r="R19" s="610">
        <v>0</v>
      </c>
      <c r="S19" s="610">
        <v>0</v>
      </c>
      <c r="T19" s="610">
        <v>0</v>
      </c>
      <c r="U19" s="636">
        <v>0</v>
      </c>
    </row>
    <row r="20" spans="1:21" ht="15.75">
      <c r="A20" s="623" t="s">
        <v>63</v>
      </c>
      <c r="B20" s="591" t="s">
        <v>334</v>
      </c>
      <c r="C20" s="634">
        <f t="shared" si="2"/>
        <v>0</v>
      </c>
      <c r="D20" s="637">
        <v>0</v>
      </c>
      <c r="E20" s="637">
        <v>0</v>
      </c>
      <c r="F20" s="634">
        <f t="shared" si="3"/>
        <v>0</v>
      </c>
      <c r="G20" s="632">
        <v>0</v>
      </c>
      <c r="H20" s="632">
        <v>0</v>
      </c>
      <c r="I20" s="635">
        <f t="shared" si="4"/>
        <v>0</v>
      </c>
      <c r="J20" s="610">
        <v>0</v>
      </c>
      <c r="K20" s="610">
        <v>0</v>
      </c>
      <c r="L20" s="634">
        <f t="shared" si="5"/>
        <v>0</v>
      </c>
      <c r="M20" s="610">
        <v>0</v>
      </c>
      <c r="N20" s="610">
        <v>0</v>
      </c>
      <c r="O20" s="610">
        <v>0</v>
      </c>
      <c r="P20" s="634">
        <f t="shared" si="6"/>
        <v>0</v>
      </c>
      <c r="Q20" s="610">
        <v>0</v>
      </c>
      <c r="R20" s="610">
        <v>0</v>
      </c>
      <c r="S20" s="610">
        <v>0</v>
      </c>
      <c r="T20" s="610">
        <v>0</v>
      </c>
      <c r="U20" s="636">
        <v>0</v>
      </c>
    </row>
    <row r="21" spans="1:21" ht="15.75">
      <c r="A21" s="623" t="s">
        <v>64</v>
      </c>
      <c r="B21" s="591" t="s">
        <v>335</v>
      </c>
      <c r="C21" s="634">
        <f t="shared" si="2"/>
        <v>0</v>
      </c>
      <c r="D21" s="637">
        <v>0</v>
      </c>
      <c r="E21" s="637">
        <v>0</v>
      </c>
      <c r="F21" s="634">
        <f t="shared" si="3"/>
        <v>0</v>
      </c>
      <c r="G21" s="632">
        <v>0</v>
      </c>
      <c r="H21" s="632">
        <v>0</v>
      </c>
      <c r="I21" s="635">
        <f t="shared" si="4"/>
        <v>0</v>
      </c>
      <c r="J21" s="610">
        <v>0</v>
      </c>
      <c r="K21" s="610">
        <v>0</v>
      </c>
      <c r="L21" s="634">
        <f t="shared" si="5"/>
        <v>0</v>
      </c>
      <c r="M21" s="610">
        <v>0</v>
      </c>
      <c r="N21" s="610">
        <v>0</v>
      </c>
      <c r="O21" s="610">
        <v>0</v>
      </c>
      <c r="P21" s="634">
        <f t="shared" si="6"/>
        <v>0</v>
      </c>
      <c r="Q21" s="610">
        <v>0</v>
      </c>
      <c r="R21" s="610">
        <v>0</v>
      </c>
      <c r="S21" s="610">
        <v>0</v>
      </c>
      <c r="T21" s="610">
        <v>0</v>
      </c>
      <c r="U21" s="636">
        <v>0</v>
      </c>
    </row>
    <row r="22" spans="1:21" ht="15.75">
      <c r="A22" s="623" t="s">
        <v>65</v>
      </c>
      <c r="B22" s="591" t="s">
        <v>336</v>
      </c>
      <c r="C22" s="634">
        <f t="shared" si="2"/>
        <v>0</v>
      </c>
      <c r="D22" s="637">
        <v>0</v>
      </c>
      <c r="E22" s="637">
        <v>0</v>
      </c>
      <c r="F22" s="634">
        <f t="shared" si="3"/>
        <v>0</v>
      </c>
      <c r="G22" s="632">
        <v>0</v>
      </c>
      <c r="H22" s="632">
        <v>0</v>
      </c>
      <c r="I22" s="635">
        <f t="shared" si="4"/>
        <v>0</v>
      </c>
      <c r="J22" s="610">
        <v>0</v>
      </c>
      <c r="K22" s="610">
        <v>0</v>
      </c>
      <c r="L22" s="634">
        <f t="shared" si="5"/>
        <v>0</v>
      </c>
      <c r="M22" s="610">
        <v>0</v>
      </c>
      <c r="N22" s="610">
        <v>0</v>
      </c>
      <c r="O22" s="610">
        <v>0</v>
      </c>
      <c r="P22" s="634">
        <f t="shared" si="6"/>
        <v>0</v>
      </c>
      <c r="Q22" s="610">
        <v>0</v>
      </c>
      <c r="R22" s="610">
        <v>0</v>
      </c>
      <c r="S22" s="610">
        <v>0</v>
      </c>
      <c r="T22" s="610">
        <v>0</v>
      </c>
      <c r="U22" s="636">
        <v>0</v>
      </c>
    </row>
    <row r="23" spans="1:21" ht="15.75">
      <c r="A23" s="623" t="s">
        <v>66</v>
      </c>
      <c r="B23" s="591" t="s">
        <v>337</v>
      </c>
      <c r="C23" s="634">
        <f t="shared" si="2"/>
        <v>0</v>
      </c>
      <c r="D23" s="637">
        <v>0</v>
      </c>
      <c r="E23" s="637">
        <v>0</v>
      </c>
      <c r="F23" s="634">
        <f t="shared" si="3"/>
        <v>0</v>
      </c>
      <c r="G23" s="632">
        <v>0</v>
      </c>
      <c r="H23" s="632">
        <v>0</v>
      </c>
      <c r="I23" s="635">
        <f t="shared" si="4"/>
        <v>0</v>
      </c>
      <c r="J23" s="610">
        <v>0</v>
      </c>
      <c r="K23" s="610">
        <v>0</v>
      </c>
      <c r="L23" s="634">
        <f t="shared" si="5"/>
        <v>0</v>
      </c>
      <c r="M23" s="610">
        <v>0</v>
      </c>
      <c r="N23" s="610">
        <v>0</v>
      </c>
      <c r="O23" s="610">
        <v>0</v>
      </c>
      <c r="P23" s="634">
        <f t="shared" si="6"/>
        <v>0</v>
      </c>
      <c r="Q23" s="610">
        <v>0</v>
      </c>
      <c r="R23" s="610">
        <v>0</v>
      </c>
      <c r="S23" s="610">
        <v>0</v>
      </c>
      <c r="T23" s="610">
        <v>0</v>
      </c>
      <c r="U23" s="636">
        <v>0</v>
      </c>
    </row>
    <row r="24" spans="1:21" ht="15.75">
      <c r="A24" s="623" t="s">
        <v>67</v>
      </c>
      <c r="B24" s="591" t="s">
        <v>338</v>
      </c>
      <c r="C24" s="634">
        <f t="shared" si="2"/>
        <v>0</v>
      </c>
      <c r="D24" s="637">
        <v>0</v>
      </c>
      <c r="E24" s="637">
        <v>0</v>
      </c>
      <c r="F24" s="634">
        <f t="shared" si="3"/>
        <v>0</v>
      </c>
      <c r="G24" s="632">
        <v>0</v>
      </c>
      <c r="H24" s="632">
        <v>0</v>
      </c>
      <c r="I24" s="635">
        <f t="shared" si="4"/>
        <v>0</v>
      </c>
      <c r="J24" s="610">
        <v>0</v>
      </c>
      <c r="K24" s="610">
        <v>0</v>
      </c>
      <c r="L24" s="634">
        <f t="shared" si="5"/>
        <v>0</v>
      </c>
      <c r="M24" s="610">
        <v>0</v>
      </c>
      <c r="N24" s="610">
        <v>0</v>
      </c>
      <c r="O24" s="610">
        <v>0</v>
      </c>
      <c r="P24" s="634">
        <f t="shared" si="6"/>
        <v>0</v>
      </c>
      <c r="Q24" s="610">
        <v>0</v>
      </c>
      <c r="R24" s="610">
        <v>0</v>
      </c>
      <c r="S24" s="610">
        <v>0</v>
      </c>
      <c r="T24" s="610">
        <v>0</v>
      </c>
      <c r="U24" s="636">
        <v>0</v>
      </c>
    </row>
    <row r="25" spans="1:21" ht="16.5" thickBot="1">
      <c r="A25" s="624" t="s">
        <v>85</v>
      </c>
      <c r="B25" s="592" t="s">
        <v>339</v>
      </c>
      <c r="C25" s="638">
        <f t="shared" si="2"/>
        <v>0</v>
      </c>
      <c r="D25" s="639">
        <v>0</v>
      </c>
      <c r="E25" s="639">
        <v>0</v>
      </c>
      <c r="F25" s="638">
        <f t="shared" si="3"/>
        <v>0</v>
      </c>
      <c r="G25" s="640">
        <v>0</v>
      </c>
      <c r="H25" s="640">
        <v>0</v>
      </c>
      <c r="I25" s="641">
        <f t="shared" si="4"/>
        <v>0</v>
      </c>
      <c r="J25" s="613">
        <v>0</v>
      </c>
      <c r="K25" s="613">
        <v>0</v>
      </c>
      <c r="L25" s="638">
        <f t="shared" si="5"/>
        <v>0</v>
      </c>
      <c r="M25" s="613">
        <v>0</v>
      </c>
      <c r="N25" s="613">
        <v>0</v>
      </c>
      <c r="O25" s="613">
        <v>0</v>
      </c>
      <c r="P25" s="638">
        <f t="shared" si="6"/>
        <v>0</v>
      </c>
      <c r="Q25" s="613">
        <v>0</v>
      </c>
      <c r="R25" s="613">
        <v>0</v>
      </c>
      <c r="S25" s="613">
        <v>0</v>
      </c>
      <c r="T25" s="613">
        <v>0</v>
      </c>
      <c r="U25" s="642">
        <v>0</v>
      </c>
    </row>
    <row r="26" spans="1:21" ht="17.25" thickTop="1">
      <c r="A26" s="1044" t="str">
        <f>'Thông tin'!B7</f>
        <v>Bình Thuận, ngày 06 tháng 4 năm 2016</v>
      </c>
      <c r="B26" s="1044"/>
      <c r="C26" s="1044"/>
      <c r="D26" s="1044"/>
      <c r="E26" s="1044"/>
      <c r="F26" s="1044"/>
      <c r="G26" s="1044"/>
      <c r="H26" s="1044"/>
      <c r="I26" s="582"/>
      <c r="J26" s="582"/>
      <c r="K26" s="582"/>
      <c r="L26" s="582"/>
      <c r="M26" s="1045" t="str">
        <f>'Thông tin'!B7</f>
        <v>Bình Thuận, ngày 06 tháng 4 năm 2016</v>
      </c>
      <c r="N26" s="1045"/>
      <c r="O26" s="1045"/>
      <c r="P26" s="1045"/>
      <c r="Q26" s="1045"/>
      <c r="R26" s="1045"/>
      <c r="S26" s="1045"/>
      <c r="T26" s="1045"/>
      <c r="U26" s="1046"/>
    </row>
    <row r="27" spans="1:21" ht="16.5">
      <c r="A27" s="1047" t="s">
        <v>4</v>
      </c>
      <c r="B27" s="1047"/>
      <c r="C27" s="1047"/>
      <c r="D27" s="1047"/>
      <c r="E27" s="1047"/>
      <c r="F27" s="1047"/>
      <c r="G27" s="1047"/>
      <c r="H27" s="1047"/>
      <c r="I27" s="521"/>
      <c r="J27" s="521"/>
      <c r="K27" s="521"/>
      <c r="L27" s="521"/>
      <c r="M27" s="1048" t="s">
        <v>355</v>
      </c>
      <c r="N27" s="1048"/>
      <c r="O27" s="1048"/>
      <c r="P27" s="1048"/>
      <c r="Q27" s="1048"/>
      <c r="R27" s="1048"/>
      <c r="S27" s="1048"/>
      <c r="T27" s="1048"/>
      <c r="U27" s="1048"/>
    </row>
    <row r="28" spans="1:21" ht="16.5">
      <c r="A28" s="306"/>
      <c r="B28" s="1049"/>
      <c r="C28" s="1049"/>
      <c r="D28" s="570"/>
      <c r="E28" s="275"/>
      <c r="F28" s="583"/>
      <c r="G28" s="584"/>
      <c r="H28" s="584"/>
      <c r="I28" s="584"/>
      <c r="J28" s="584"/>
      <c r="K28" s="584"/>
      <c r="L28" s="584"/>
      <c r="M28" s="843" t="s">
        <v>354</v>
      </c>
      <c r="N28" s="843"/>
      <c r="O28" s="843"/>
      <c r="P28" s="843"/>
      <c r="Q28" s="843"/>
      <c r="R28" s="843"/>
      <c r="S28" s="843"/>
      <c r="T28" s="843"/>
      <c r="U28" s="843"/>
    </row>
    <row r="29" spans="1:21" ht="16.5">
      <c r="A29" s="306"/>
      <c r="B29" s="306"/>
      <c r="C29" s="497"/>
      <c r="D29" s="571"/>
      <c r="E29" s="275"/>
      <c r="F29" s="260"/>
      <c r="G29" s="260"/>
      <c r="H29" s="260"/>
      <c r="I29" s="260"/>
      <c r="J29" s="260"/>
      <c r="K29" s="260"/>
      <c r="L29" s="260"/>
      <c r="M29" s="260"/>
      <c r="N29" s="275"/>
      <c r="O29" s="569"/>
      <c r="P29" s="569"/>
      <c r="Q29" s="569"/>
      <c r="R29" s="569"/>
      <c r="S29" s="260"/>
      <c r="T29" s="260"/>
      <c r="U29" s="260"/>
    </row>
    <row r="30" spans="1:21" ht="16.5">
      <c r="A30" s="306"/>
      <c r="B30" s="306"/>
      <c r="C30" s="497"/>
      <c r="D30" s="571"/>
      <c r="E30" s="275"/>
      <c r="F30" s="260"/>
      <c r="G30" s="260"/>
      <c r="H30" s="260"/>
      <c r="I30" s="260"/>
      <c r="J30" s="260"/>
      <c r="K30" s="260"/>
      <c r="L30" s="260"/>
      <c r="M30" s="260"/>
      <c r="N30" s="275"/>
      <c r="O30" s="569"/>
      <c r="P30" s="569"/>
      <c r="Q30" s="569"/>
      <c r="R30" s="569"/>
      <c r="S30" s="260"/>
      <c r="T30" s="260"/>
      <c r="U30" s="260"/>
    </row>
    <row r="31" spans="1:21" ht="16.5">
      <c r="A31" s="843" t="str">
        <f>'Thông tin'!B4</f>
        <v>Trần Quốc Bảo</v>
      </c>
      <c r="B31" s="843"/>
      <c r="C31" s="843"/>
      <c r="D31" s="843"/>
      <c r="E31" s="843"/>
      <c r="F31" s="843"/>
      <c r="G31" s="843"/>
      <c r="H31" s="260"/>
      <c r="I31" s="260"/>
      <c r="J31" s="260"/>
      <c r="K31" s="260"/>
      <c r="L31" s="260"/>
      <c r="M31" s="843" t="str">
        <f>'Thông tin'!B5</f>
        <v>Trần Nam</v>
      </c>
      <c r="N31" s="843"/>
      <c r="O31" s="843"/>
      <c r="P31" s="843"/>
      <c r="Q31" s="843"/>
      <c r="R31" s="843"/>
      <c r="S31" s="843"/>
      <c r="T31" s="843"/>
      <c r="U31" s="843"/>
    </row>
  </sheetData>
  <mergeCells count="48">
    <mergeCell ref="B28:C28"/>
    <mergeCell ref="M28:U28"/>
    <mergeCell ref="A31:G31"/>
    <mergeCell ref="M31:U31"/>
    <mergeCell ref="A13:B13"/>
    <mergeCell ref="A26:H26"/>
    <mergeCell ref="M26:U26"/>
    <mergeCell ref="A27:H27"/>
    <mergeCell ref="M27:U27"/>
    <mergeCell ref="D10:D11"/>
    <mergeCell ref="E10:E11"/>
    <mergeCell ref="G10:G11"/>
    <mergeCell ref="H10:H11"/>
    <mergeCell ref="S8:S11"/>
    <mergeCell ref="T8:T11"/>
    <mergeCell ref="U8:U11"/>
    <mergeCell ref="C9:C11"/>
    <mergeCell ref="D9:E9"/>
    <mergeCell ref="F9:F11"/>
    <mergeCell ref="G9:H9"/>
    <mergeCell ref="I9:I11"/>
    <mergeCell ref="J9:K9"/>
    <mergeCell ref="L9:L11"/>
    <mergeCell ref="I8:K8"/>
    <mergeCell ref="L8:O8"/>
    <mergeCell ref="Q8:Q11"/>
    <mergeCell ref="R8:R11"/>
    <mergeCell ref="M9:O9"/>
    <mergeCell ref="J10:J11"/>
    <mergeCell ref="K10:K11"/>
    <mergeCell ref="M10:M11"/>
    <mergeCell ref="N10:N11"/>
    <mergeCell ref="O10:O11"/>
    <mergeCell ref="E4:O4"/>
    <mergeCell ref="Q5:U5"/>
    <mergeCell ref="A6:B11"/>
    <mergeCell ref="C6:E8"/>
    <mergeCell ref="F6:O6"/>
    <mergeCell ref="P6:U6"/>
    <mergeCell ref="F7:H8"/>
    <mergeCell ref="I7:O7"/>
    <mergeCell ref="P7:P11"/>
    <mergeCell ref="Q7:U7"/>
    <mergeCell ref="A1:D1"/>
    <mergeCell ref="E1:O2"/>
    <mergeCell ref="Q1:U1"/>
    <mergeCell ref="E3:O3"/>
    <mergeCell ref="Q3:U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24"/>
  </sheetPr>
  <dimension ref="A1:AC40"/>
  <sheetViews>
    <sheetView zoomScalePageLayoutView="0" workbookViewId="0" topLeftCell="A4">
      <selection activeCell="V22" sqref="V22"/>
    </sheetView>
  </sheetViews>
  <sheetFormatPr defaultColWidth="9.00390625" defaultRowHeight="15.75"/>
  <cols>
    <col min="1" max="1" width="3.50390625" style="59" customWidth="1"/>
    <col min="2" max="2" width="21.875" style="59" customWidth="1"/>
    <col min="3" max="6" width="5.75390625" style="59" customWidth="1"/>
    <col min="7" max="7" width="5.50390625" style="59" customWidth="1"/>
    <col min="8" max="14" width="5.75390625" style="59" customWidth="1"/>
    <col min="15" max="15" width="5.50390625" style="59" customWidth="1"/>
    <col min="16" max="16" width="5.75390625" style="59" customWidth="1"/>
    <col min="17" max="17" width="5.125" style="59" customWidth="1"/>
    <col min="18" max="19" width="5.25390625" style="59" customWidth="1"/>
    <col min="20" max="20" width="5.125" style="59" customWidth="1"/>
    <col min="21" max="21" width="5.75390625" style="59" customWidth="1"/>
    <col min="22" max="16384" width="9.00390625" style="59" customWidth="1"/>
  </cols>
  <sheetData>
    <row r="1" spans="1:22" ht="16.5" customHeight="1">
      <c r="A1" s="1050" t="s">
        <v>197</v>
      </c>
      <c r="B1" s="1050"/>
      <c r="C1" s="1050"/>
      <c r="D1" s="1050"/>
      <c r="E1" s="997" t="s">
        <v>243</v>
      </c>
      <c r="F1" s="997"/>
      <c r="G1" s="997"/>
      <c r="H1" s="997"/>
      <c r="I1" s="997"/>
      <c r="J1" s="997"/>
      <c r="K1" s="997"/>
      <c r="L1" s="997"/>
      <c r="M1" s="997"/>
      <c r="N1" s="997"/>
      <c r="O1" s="997"/>
      <c r="P1" s="1080" t="s">
        <v>358</v>
      </c>
      <c r="Q1" s="1081"/>
      <c r="R1" s="1081"/>
      <c r="S1" s="1081"/>
      <c r="T1" s="1081"/>
      <c r="U1" s="1081"/>
      <c r="V1" s="115"/>
    </row>
    <row r="2" spans="1:22" ht="15.75" customHeight="1">
      <c r="A2" s="130" t="s">
        <v>247</v>
      </c>
      <c r="B2" s="63"/>
      <c r="C2" s="63"/>
      <c r="D2" s="63"/>
      <c r="E2" s="997" t="s">
        <v>244</v>
      </c>
      <c r="F2" s="997"/>
      <c r="G2" s="997"/>
      <c r="H2" s="997"/>
      <c r="I2" s="997"/>
      <c r="J2" s="997"/>
      <c r="K2" s="997"/>
      <c r="L2" s="997"/>
      <c r="M2" s="997"/>
      <c r="N2" s="997"/>
      <c r="O2" s="997"/>
      <c r="P2" s="307" t="str">
        <f>'Thông tin'!B3</f>
        <v>Cục THADS tỉnh Bình Thuận</v>
      </c>
      <c r="Q2" s="307"/>
      <c r="R2" s="307"/>
      <c r="S2" s="307"/>
      <c r="T2" s="307"/>
      <c r="U2" s="307"/>
      <c r="V2" s="139"/>
    </row>
    <row r="3" spans="1:21" ht="15.75" customHeight="1">
      <c r="A3" s="143" t="s">
        <v>248</v>
      </c>
      <c r="B3" s="130"/>
      <c r="C3" s="130"/>
      <c r="D3" s="130"/>
      <c r="E3" s="985" t="str">
        <f>'Thông tin'!B2</f>
        <v>6 tháng / năm 2016</v>
      </c>
      <c r="F3" s="985"/>
      <c r="G3" s="985"/>
      <c r="H3" s="985"/>
      <c r="I3" s="985"/>
      <c r="J3" s="985"/>
      <c r="K3" s="985"/>
      <c r="L3" s="985"/>
      <c r="M3" s="985"/>
      <c r="N3" s="985"/>
      <c r="O3" s="985"/>
      <c r="P3" s="1082" t="s">
        <v>359</v>
      </c>
      <c r="Q3" s="1083"/>
      <c r="R3" s="1083"/>
      <c r="S3" s="1083"/>
      <c r="T3" s="1083"/>
      <c r="U3" s="1083"/>
    </row>
    <row r="4" spans="1:21" ht="15" customHeight="1">
      <c r="A4" s="137" t="s">
        <v>198</v>
      </c>
      <c r="B4" s="139"/>
      <c r="C4" s="139"/>
      <c r="D4" s="139"/>
      <c r="E4" s="1003" t="s">
        <v>452</v>
      </c>
      <c r="F4" s="1003"/>
      <c r="G4" s="1003"/>
      <c r="H4" s="1003"/>
      <c r="I4" s="1003"/>
      <c r="J4" s="1003"/>
      <c r="K4" s="1003"/>
      <c r="L4" s="1003"/>
      <c r="M4" s="1003"/>
      <c r="N4" s="1003"/>
      <c r="O4" s="1003"/>
      <c r="P4" s="1087" t="s">
        <v>350</v>
      </c>
      <c r="Q4" s="1087"/>
      <c r="R4" s="1087"/>
      <c r="S4" s="1087"/>
      <c r="T4" s="1087"/>
      <c r="U4" s="1087"/>
    </row>
    <row r="5" spans="5:21" ht="15" customHeight="1">
      <c r="E5" s="49"/>
      <c r="F5" s="49"/>
      <c r="G5" s="49"/>
      <c r="H5" s="49"/>
      <c r="I5" s="49"/>
      <c r="J5" s="49"/>
      <c r="K5" s="49"/>
      <c r="L5" s="49"/>
      <c r="M5" s="49"/>
      <c r="N5" s="49"/>
      <c r="O5" s="49"/>
      <c r="P5" s="1086" t="s">
        <v>346</v>
      </c>
      <c r="Q5" s="1086"/>
      <c r="R5" s="1086"/>
      <c r="S5" s="1086"/>
      <c r="T5" s="1086"/>
      <c r="U5" s="1086"/>
    </row>
    <row r="6" spans="1:21" s="134" customFormat="1" ht="21" customHeight="1">
      <c r="A6" s="1051" t="s">
        <v>61</v>
      </c>
      <c r="B6" s="1052"/>
      <c r="C6" s="1057" t="s">
        <v>245</v>
      </c>
      <c r="D6" s="1058"/>
      <c r="E6" s="1059"/>
      <c r="F6" s="1067" t="s">
        <v>237</v>
      </c>
      <c r="G6" s="1073"/>
      <c r="H6" s="1073"/>
      <c r="I6" s="1073"/>
      <c r="J6" s="1073"/>
      <c r="K6" s="1073"/>
      <c r="L6" s="1073"/>
      <c r="M6" s="1073"/>
      <c r="N6" s="1073"/>
      <c r="O6" s="1074"/>
      <c r="P6" s="1066" t="s">
        <v>259</v>
      </c>
      <c r="Q6" s="1066"/>
      <c r="R6" s="1066"/>
      <c r="S6" s="1066"/>
      <c r="T6" s="1066"/>
      <c r="U6" s="1066"/>
    </row>
    <row r="7" spans="1:21" s="134" customFormat="1" ht="16.5" customHeight="1">
      <c r="A7" s="1053"/>
      <c r="B7" s="1054"/>
      <c r="C7" s="1060"/>
      <c r="D7" s="1061"/>
      <c r="E7" s="1061"/>
      <c r="F7" s="1057" t="s">
        <v>199</v>
      </c>
      <c r="G7" s="1058"/>
      <c r="H7" s="1059"/>
      <c r="I7" s="1066" t="s">
        <v>200</v>
      </c>
      <c r="J7" s="1066"/>
      <c r="K7" s="1066"/>
      <c r="L7" s="1066"/>
      <c r="M7" s="1066"/>
      <c r="N7" s="1066"/>
      <c r="O7" s="1066"/>
      <c r="P7" s="1062" t="s">
        <v>26</v>
      </c>
      <c r="Q7" s="1067" t="s">
        <v>6</v>
      </c>
      <c r="R7" s="1073"/>
      <c r="S7" s="1073"/>
      <c r="T7" s="1073"/>
      <c r="U7" s="1074"/>
    </row>
    <row r="8" spans="1:22" s="134" customFormat="1" ht="30.75" customHeight="1">
      <c r="A8" s="1053"/>
      <c r="B8" s="1054"/>
      <c r="C8" s="1060"/>
      <c r="D8" s="1061"/>
      <c r="E8" s="1061"/>
      <c r="F8" s="1070"/>
      <c r="G8" s="1071"/>
      <c r="H8" s="1072"/>
      <c r="I8" s="1066" t="s">
        <v>201</v>
      </c>
      <c r="J8" s="1066"/>
      <c r="K8" s="1066"/>
      <c r="L8" s="1066" t="s">
        <v>202</v>
      </c>
      <c r="M8" s="1066"/>
      <c r="N8" s="1066"/>
      <c r="O8" s="1066"/>
      <c r="P8" s="1063"/>
      <c r="Q8" s="1062" t="s">
        <v>203</v>
      </c>
      <c r="R8" s="1062" t="s">
        <v>204</v>
      </c>
      <c r="S8" s="1062" t="s">
        <v>205</v>
      </c>
      <c r="T8" s="1062" t="s">
        <v>206</v>
      </c>
      <c r="U8" s="1062" t="s">
        <v>207</v>
      </c>
      <c r="V8" s="134" t="s">
        <v>3</v>
      </c>
    </row>
    <row r="9" spans="1:21" s="134" customFormat="1" ht="18.75" customHeight="1">
      <c r="A9" s="1053"/>
      <c r="B9" s="1054"/>
      <c r="C9" s="1062" t="s">
        <v>26</v>
      </c>
      <c r="D9" s="1057" t="s">
        <v>6</v>
      </c>
      <c r="E9" s="1058"/>
      <c r="F9" s="1062" t="s">
        <v>26</v>
      </c>
      <c r="G9" s="1057" t="s">
        <v>6</v>
      </c>
      <c r="H9" s="1058"/>
      <c r="I9" s="1062" t="s">
        <v>26</v>
      </c>
      <c r="J9" s="1067" t="s">
        <v>6</v>
      </c>
      <c r="K9" s="1058"/>
      <c r="L9" s="1062" t="s">
        <v>26</v>
      </c>
      <c r="M9" s="1067" t="s">
        <v>208</v>
      </c>
      <c r="N9" s="1073"/>
      <c r="O9" s="1074"/>
      <c r="P9" s="1063"/>
      <c r="Q9" s="1084"/>
      <c r="R9" s="1063"/>
      <c r="S9" s="1063"/>
      <c r="T9" s="1063"/>
      <c r="U9" s="1063"/>
    </row>
    <row r="10" spans="1:23" s="134" customFormat="1" ht="15" customHeight="1">
      <c r="A10" s="1053"/>
      <c r="B10" s="1054"/>
      <c r="C10" s="1063"/>
      <c r="D10" s="1062" t="s">
        <v>209</v>
      </c>
      <c r="E10" s="1062" t="s">
        <v>242</v>
      </c>
      <c r="F10" s="1063"/>
      <c r="G10" s="1062" t="s">
        <v>209</v>
      </c>
      <c r="H10" s="1062" t="s">
        <v>210</v>
      </c>
      <c r="I10" s="1063"/>
      <c r="J10" s="1066" t="s">
        <v>250</v>
      </c>
      <c r="K10" s="1066" t="s">
        <v>211</v>
      </c>
      <c r="L10" s="1063"/>
      <c r="M10" s="1066" t="s">
        <v>212</v>
      </c>
      <c r="N10" s="1088" t="s">
        <v>213</v>
      </c>
      <c r="O10" s="1088" t="s">
        <v>214</v>
      </c>
      <c r="P10" s="1063"/>
      <c r="Q10" s="1084"/>
      <c r="R10" s="1063"/>
      <c r="S10" s="1063"/>
      <c r="T10" s="1063"/>
      <c r="U10" s="1063"/>
      <c r="V10" s="136"/>
      <c r="W10" s="136"/>
    </row>
    <row r="11" spans="1:29" s="134" customFormat="1" ht="84" customHeight="1">
      <c r="A11" s="1055"/>
      <c r="B11" s="1056"/>
      <c r="C11" s="1064"/>
      <c r="D11" s="1065"/>
      <c r="E11" s="1065"/>
      <c r="F11" s="1064"/>
      <c r="G11" s="1064"/>
      <c r="H11" s="1064"/>
      <c r="I11" s="1064"/>
      <c r="J11" s="1066"/>
      <c r="K11" s="1066"/>
      <c r="L11" s="1064"/>
      <c r="M11" s="1066"/>
      <c r="N11" s="1088"/>
      <c r="O11" s="1088"/>
      <c r="P11" s="1064"/>
      <c r="Q11" s="1085"/>
      <c r="R11" s="1064"/>
      <c r="S11" s="1064"/>
      <c r="T11" s="1064"/>
      <c r="U11" s="1064"/>
      <c r="V11" s="124"/>
      <c r="W11" s="135"/>
      <c r="X11" s="136"/>
      <c r="Y11" s="136"/>
      <c r="Z11" s="136"/>
      <c r="AA11" s="136"/>
      <c r="AB11" s="136"/>
      <c r="AC11" s="136"/>
    </row>
    <row r="12" spans="1:29" s="165" customFormat="1" ht="12" customHeight="1">
      <c r="A12" s="1075" t="s">
        <v>215</v>
      </c>
      <c r="B12" s="1076"/>
      <c r="C12" s="252">
        <v>1</v>
      </c>
      <c r="D12" s="253">
        <v>2</v>
      </c>
      <c r="E12" s="252">
        <v>3</v>
      </c>
      <c r="F12" s="253">
        <v>4</v>
      </c>
      <c r="G12" s="252">
        <v>5</v>
      </c>
      <c r="H12" s="253">
        <v>6</v>
      </c>
      <c r="I12" s="252">
        <v>7</v>
      </c>
      <c r="J12" s="253">
        <v>8</v>
      </c>
      <c r="K12" s="252">
        <v>9</v>
      </c>
      <c r="L12" s="253">
        <v>10</v>
      </c>
      <c r="M12" s="252">
        <v>11</v>
      </c>
      <c r="N12" s="253">
        <v>12</v>
      </c>
      <c r="O12" s="252">
        <v>13</v>
      </c>
      <c r="P12" s="253">
        <v>14</v>
      </c>
      <c r="Q12" s="252">
        <v>15</v>
      </c>
      <c r="R12" s="253">
        <v>16</v>
      </c>
      <c r="S12" s="252">
        <v>17</v>
      </c>
      <c r="T12" s="253">
        <v>18</v>
      </c>
      <c r="U12" s="252">
        <v>19</v>
      </c>
      <c r="V12" s="133"/>
      <c r="W12" s="164"/>
      <c r="X12" s="164"/>
      <c r="Y12" s="164"/>
      <c r="Z12" s="164"/>
      <c r="AA12" s="164"/>
      <c r="AB12" s="164"/>
      <c r="AC12" s="164"/>
    </row>
    <row r="13" spans="1:29" ht="15.75" customHeight="1">
      <c r="A13" s="1068" t="s">
        <v>26</v>
      </c>
      <c r="B13" s="1069"/>
      <c r="C13" s="249">
        <f aca="true" t="shared" si="0" ref="C13:U13">C14+C15</f>
        <v>23</v>
      </c>
      <c r="D13" s="249">
        <f t="shared" si="0"/>
        <v>1</v>
      </c>
      <c r="E13" s="249">
        <f t="shared" si="0"/>
        <v>22</v>
      </c>
      <c r="F13" s="249">
        <f t="shared" si="0"/>
        <v>23</v>
      </c>
      <c r="G13" s="249">
        <f t="shared" si="0"/>
        <v>1</v>
      </c>
      <c r="H13" s="249">
        <f t="shared" si="0"/>
        <v>22</v>
      </c>
      <c r="I13" s="249">
        <f t="shared" si="0"/>
        <v>23</v>
      </c>
      <c r="J13" s="249">
        <f t="shared" si="0"/>
        <v>18</v>
      </c>
      <c r="K13" s="249">
        <f t="shared" si="0"/>
        <v>5</v>
      </c>
      <c r="L13" s="249">
        <f t="shared" si="0"/>
        <v>0</v>
      </c>
      <c r="M13" s="249">
        <f t="shared" si="0"/>
        <v>0</v>
      </c>
      <c r="N13" s="249">
        <f t="shared" si="0"/>
        <v>0</v>
      </c>
      <c r="O13" s="249">
        <f t="shared" si="0"/>
        <v>0</v>
      </c>
      <c r="P13" s="249">
        <f t="shared" si="0"/>
        <v>23</v>
      </c>
      <c r="Q13" s="249">
        <f t="shared" si="0"/>
        <v>4</v>
      </c>
      <c r="R13" s="249">
        <f t="shared" si="0"/>
        <v>1</v>
      </c>
      <c r="S13" s="249">
        <f t="shared" si="0"/>
        <v>1</v>
      </c>
      <c r="T13" s="249">
        <f t="shared" si="0"/>
        <v>10</v>
      </c>
      <c r="U13" s="249">
        <f t="shared" si="0"/>
        <v>7</v>
      </c>
      <c r="V13" s="125"/>
      <c r="W13" s="61"/>
      <c r="X13" s="61"/>
      <c r="Y13" s="61"/>
      <c r="Z13" s="61"/>
      <c r="AA13" s="61"/>
      <c r="AB13" s="61"/>
      <c r="AC13" s="61"/>
    </row>
    <row r="14" spans="1:29" ht="17.25" customHeight="1">
      <c r="A14" s="643" t="s">
        <v>0</v>
      </c>
      <c r="B14" s="644" t="s">
        <v>84</v>
      </c>
      <c r="C14" s="645">
        <f>D14+E14</f>
        <v>7</v>
      </c>
      <c r="D14" s="646">
        <v>0</v>
      </c>
      <c r="E14" s="646">
        <v>7</v>
      </c>
      <c r="F14" s="647">
        <f>G14+H14</f>
        <v>7</v>
      </c>
      <c r="G14" s="648">
        <v>0</v>
      </c>
      <c r="H14" s="648">
        <v>7</v>
      </c>
      <c r="I14" s="609">
        <f>J14+K14</f>
        <v>7</v>
      </c>
      <c r="J14" s="611">
        <v>2</v>
      </c>
      <c r="K14" s="611">
        <v>5</v>
      </c>
      <c r="L14" s="609">
        <f>M14+N14+O14</f>
        <v>0</v>
      </c>
      <c r="M14" s="611">
        <v>0</v>
      </c>
      <c r="N14" s="611">
        <v>0</v>
      </c>
      <c r="O14" s="611">
        <v>0</v>
      </c>
      <c r="P14" s="647">
        <f>Q14+R14+S14+T14+U14</f>
        <v>7</v>
      </c>
      <c r="Q14" s="611">
        <v>1</v>
      </c>
      <c r="R14" s="611">
        <v>0</v>
      </c>
      <c r="S14" s="611">
        <v>0</v>
      </c>
      <c r="T14" s="611">
        <v>4</v>
      </c>
      <c r="U14" s="611">
        <v>2</v>
      </c>
      <c r="V14" s="125"/>
      <c r="W14" s="61"/>
      <c r="X14" s="61"/>
      <c r="Y14" s="61"/>
      <c r="Z14" s="61"/>
      <c r="AA14" s="61"/>
      <c r="AB14" s="61"/>
      <c r="AC14" s="61"/>
    </row>
    <row r="15" spans="1:29" ht="15.75" customHeight="1">
      <c r="A15" s="649" t="s">
        <v>1</v>
      </c>
      <c r="B15" s="650" t="s">
        <v>14</v>
      </c>
      <c r="C15" s="645">
        <f aca="true" t="shared" si="1" ref="C15:U15">C16+C17+C18+C19+C20+C21+C22+C23+C24+C25</f>
        <v>16</v>
      </c>
      <c r="D15" s="645">
        <f t="shared" si="1"/>
        <v>1</v>
      </c>
      <c r="E15" s="645">
        <f t="shared" si="1"/>
        <v>15</v>
      </c>
      <c r="F15" s="645">
        <f t="shared" si="1"/>
        <v>16</v>
      </c>
      <c r="G15" s="645">
        <f t="shared" si="1"/>
        <v>1</v>
      </c>
      <c r="H15" s="645">
        <f t="shared" si="1"/>
        <v>15</v>
      </c>
      <c r="I15" s="645">
        <f t="shared" si="1"/>
        <v>16</v>
      </c>
      <c r="J15" s="645">
        <f t="shared" si="1"/>
        <v>16</v>
      </c>
      <c r="K15" s="645">
        <f t="shared" si="1"/>
        <v>0</v>
      </c>
      <c r="L15" s="645">
        <f t="shared" si="1"/>
        <v>0</v>
      </c>
      <c r="M15" s="645">
        <f t="shared" si="1"/>
        <v>0</v>
      </c>
      <c r="N15" s="645">
        <f t="shared" si="1"/>
        <v>0</v>
      </c>
      <c r="O15" s="645">
        <f t="shared" si="1"/>
        <v>0</v>
      </c>
      <c r="P15" s="645">
        <f t="shared" si="1"/>
        <v>16</v>
      </c>
      <c r="Q15" s="645">
        <f t="shared" si="1"/>
        <v>3</v>
      </c>
      <c r="R15" s="645">
        <f t="shared" si="1"/>
        <v>1</v>
      </c>
      <c r="S15" s="645">
        <f t="shared" si="1"/>
        <v>1</v>
      </c>
      <c r="T15" s="645">
        <f t="shared" si="1"/>
        <v>6</v>
      </c>
      <c r="U15" s="645">
        <f t="shared" si="1"/>
        <v>5</v>
      </c>
      <c r="V15" s="61"/>
      <c r="W15" s="61"/>
      <c r="X15" s="61"/>
      <c r="Y15" s="61"/>
      <c r="Z15" s="61"/>
      <c r="AA15" s="61"/>
      <c r="AB15" s="61"/>
      <c r="AC15" s="61"/>
    </row>
    <row r="16" spans="1:29" ht="15" customHeight="1">
      <c r="A16" s="623" t="s">
        <v>37</v>
      </c>
      <c r="B16" s="591" t="s">
        <v>330</v>
      </c>
      <c r="C16" s="651">
        <f aca="true" t="shared" si="2" ref="C16:C25">D16+E16</f>
        <v>5</v>
      </c>
      <c r="D16" s="646">
        <v>0</v>
      </c>
      <c r="E16" s="646">
        <v>5</v>
      </c>
      <c r="F16" s="652">
        <f aca="true" t="shared" si="3" ref="F16:F25">G16+H16</f>
        <v>5</v>
      </c>
      <c r="G16" s="648">
        <v>0</v>
      </c>
      <c r="H16" s="648">
        <v>5</v>
      </c>
      <c r="I16" s="634">
        <f aca="true" t="shared" si="4" ref="I16:I25">J16+K16</f>
        <v>5</v>
      </c>
      <c r="J16" s="611">
        <v>5</v>
      </c>
      <c r="K16" s="611">
        <v>0</v>
      </c>
      <c r="L16" s="634">
        <f aca="true" t="shared" si="5" ref="L16:L25">M16+N16+O16</f>
        <v>0</v>
      </c>
      <c r="M16" s="611">
        <v>0</v>
      </c>
      <c r="N16" s="611">
        <v>0</v>
      </c>
      <c r="O16" s="611">
        <v>0</v>
      </c>
      <c r="P16" s="652">
        <f aca="true" t="shared" si="6" ref="P16:P25">Q16+R16+S16+T16+U16</f>
        <v>5</v>
      </c>
      <c r="Q16" s="611">
        <v>2</v>
      </c>
      <c r="R16" s="611">
        <v>0</v>
      </c>
      <c r="S16" s="611">
        <v>1</v>
      </c>
      <c r="T16" s="611">
        <v>1</v>
      </c>
      <c r="U16" s="611">
        <v>1</v>
      </c>
      <c r="V16" s="61"/>
      <c r="W16" s="61"/>
      <c r="X16" s="61"/>
      <c r="Y16" s="61"/>
      <c r="Z16" s="61"/>
      <c r="AA16" s="61"/>
      <c r="AB16" s="61"/>
      <c r="AC16" s="61"/>
    </row>
    <row r="17" spans="1:29" ht="15.75" customHeight="1">
      <c r="A17" s="623" t="s">
        <v>38</v>
      </c>
      <c r="B17" s="591" t="s">
        <v>331</v>
      </c>
      <c r="C17" s="651">
        <f t="shared" si="2"/>
        <v>3</v>
      </c>
      <c r="D17" s="646">
        <v>0</v>
      </c>
      <c r="E17" s="646">
        <v>3</v>
      </c>
      <c r="F17" s="652">
        <f t="shared" si="3"/>
        <v>3</v>
      </c>
      <c r="G17" s="648">
        <v>0</v>
      </c>
      <c r="H17" s="648">
        <v>3</v>
      </c>
      <c r="I17" s="634">
        <f t="shared" si="4"/>
        <v>3</v>
      </c>
      <c r="J17" s="611">
        <v>3</v>
      </c>
      <c r="K17" s="611">
        <v>0</v>
      </c>
      <c r="L17" s="634">
        <f t="shared" si="5"/>
        <v>0</v>
      </c>
      <c r="M17" s="611">
        <v>0</v>
      </c>
      <c r="N17" s="611">
        <v>0</v>
      </c>
      <c r="O17" s="611">
        <v>0</v>
      </c>
      <c r="P17" s="652">
        <f t="shared" si="6"/>
        <v>3</v>
      </c>
      <c r="Q17" s="611">
        <v>0</v>
      </c>
      <c r="R17" s="611">
        <v>0</v>
      </c>
      <c r="S17" s="611">
        <v>0</v>
      </c>
      <c r="T17" s="611">
        <v>0</v>
      </c>
      <c r="U17" s="611">
        <v>3</v>
      </c>
      <c r="V17" s="61"/>
      <c r="W17" s="61"/>
      <c r="X17" s="61"/>
      <c r="Y17" s="61"/>
      <c r="Z17" s="61"/>
      <c r="AA17" s="61"/>
      <c r="AB17" s="61"/>
      <c r="AC17" s="61"/>
    </row>
    <row r="18" spans="1:29" ht="15" customHeight="1">
      <c r="A18" s="623" t="s">
        <v>43</v>
      </c>
      <c r="B18" s="591" t="s">
        <v>332</v>
      </c>
      <c r="C18" s="651">
        <f t="shared" si="2"/>
        <v>4</v>
      </c>
      <c r="D18" s="653">
        <v>0</v>
      </c>
      <c r="E18" s="653">
        <v>4</v>
      </c>
      <c r="F18" s="652">
        <f t="shared" si="3"/>
        <v>4</v>
      </c>
      <c r="G18" s="648">
        <v>0</v>
      </c>
      <c r="H18" s="648">
        <v>4</v>
      </c>
      <c r="I18" s="634">
        <f t="shared" si="4"/>
        <v>4</v>
      </c>
      <c r="J18" s="611">
        <v>4</v>
      </c>
      <c r="K18" s="611">
        <v>0</v>
      </c>
      <c r="L18" s="634">
        <f t="shared" si="5"/>
        <v>0</v>
      </c>
      <c r="M18" s="611">
        <v>0</v>
      </c>
      <c r="N18" s="611">
        <v>0</v>
      </c>
      <c r="O18" s="611">
        <v>0</v>
      </c>
      <c r="P18" s="652">
        <f t="shared" si="6"/>
        <v>4</v>
      </c>
      <c r="Q18" s="611">
        <v>1</v>
      </c>
      <c r="R18" s="611">
        <v>0</v>
      </c>
      <c r="S18" s="611">
        <v>0</v>
      </c>
      <c r="T18" s="611">
        <v>3</v>
      </c>
      <c r="U18" s="611">
        <v>0</v>
      </c>
      <c r="V18" s="61"/>
      <c r="W18" s="61"/>
      <c r="X18" s="61"/>
      <c r="Y18" s="61"/>
      <c r="Z18" s="61"/>
      <c r="AA18" s="61"/>
      <c r="AB18" s="61"/>
      <c r="AC18" s="61"/>
    </row>
    <row r="19" spans="1:29" ht="16.5" customHeight="1">
      <c r="A19" s="623" t="s">
        <v>62</v>
      </c>
      <c r="B19" s="591" t="s">
        <v>333</v>
      </c>
      <c r="C19" s="651">
        <f t="shared" si="2"/>
        <v>1</v>
      </c>
      <c r="D19" s="653">
        <v>0</v>
      </c>
      <c r="E19" s="653">
        <v>1</v>
      </c>
      <c r="F19" s="652">
        <f t="shared" si="3"/>
        <v>1</v>
      </c>
      <c r="G19" s="648">
        <v>0</v>
      </c>
      <c r="H19" s="648">
        <v>1</v>
      </c>
      <c r="I19" s="634">
        <f t="shared" si="4"/>
        <v>1</v>
      </c>
      <c r="J19" s="611">
        <v>1</v>
      </c>
      <c r="K19" s="611">
        <v>0</v>
      </c>
      <c r="L19" s="634">
        <f t="shared" si="5"/>
        <v>0</v>
      </c>
      <c r="M19" s="611">
        <v>0</v>
      </c>
      <c r="N19" s="611">
        <v>0</v>
      </c>
      <c r="O19" s="611">
        <v>0</v>
      </c>
      <c r="P19" s="652">
        <f t="shared" si="6"/>
        <v>1</v>
      </c>
      <c r="Q19" s="611">
        <v>0</v>
      </c>
      <c r="R19" s="611">
        <v>1</v>
      </c>
      <c r="S19" s="611">
        <v>0</v>
      </c>
      <c r="T19" s="611">
        <v>0</v>
      </c>
      <c r="U19" s="611">
        <v>0</v>
      </c>
      <c r="V19" s="61"/>
      <c r="W19" s="61"/>
      <c r="X19" s="61"/>
      <c r="Y19" s="61"/>
      <c r="Z19" s="61"/>
      <c r="AA19" s="61"/>
      <c r="AB19" s="61"/>
      <c r="AC19" s="61"/>
    </row>
    <row r="20" spans="1:29" ht="16.5" customHeight="1">
      <c r="A20" s="623" t="s">
        <v>63</v>
      </c>
      <c r="B20" s="591" t="s">
        <v>334</v>
      </c>
      <c r="C20" s="651">
        <f t="shared" si="2"/>
        <v>1</v>
      </c>
      <c r="D20" s="653">
        <v>0</v>
      </c>
      <c r="E20" s="653">
        <v>1</v>
      </c>
      <c r="F20" s="652">
        <f t="shared" si="3"/>
        <v>1</v>
      </c>
      <c r="G20" s="648">
        <v>0</v>
      </c>
      <c r="H20" s="648">
        <v>1</v>
      </c>
      <c r="I20" s="634">
        <f>J20+K20</f>
        <v>1</v>
      </c>
      <c r="J20" s="611">
        <v>1</v>
      </c>
      <c r="K20" s="611">
        <v>0</v>
      </c>
      <c r="L20" s="634">
        <f t="shared" si="5"/>
        <v>0</v>
      </c>
      <c r="M20" s="611">
        <v>0</v>
      </c>
      <c r="N20" s="611">
        <v>0</v>
      </c>
      <c r="O20" s="611">
        <v>0</v>
      </c>
      <c r="P20" s="652">
        <f t="shared" si="6"/>
        <v>1</v>
      </c>
      <c r="Q20" s="611">
        <v>0</v>
      </c>
      <c r="R20" s="611">
        <v>0</v>
      </c>
      <c r="S20" s="611">
        <v>0</v>
      </c>
      <c r="T20" s="611">
        <v>1</v>
      </c>
      <c r="U20" s="611">
        <v>0</v>
      </c>
      <c r="V20" s="61"/>
      <c r="W20" s="61"/>
      <c r="X20" s="61"/>
      <c r="Y20" s="61"/>
      <c r="Z20" s="61"/>
      <c r="AA20" s="61"/>
      <c r="AB20" s="61"/>
      <c r="AC20" s="61"/>
    </row>
    <row r="21" spans="1:29" ht="15.75" customHeight="1">
      <c r="A21" s="623" t="s">
        <v>64</v>
      </c>
      <c r="B21" s="591" t="s">
        <v>335</v>
      </c>
      <c r="C21" s="651">
        <f t="shared" si="2"/>
        <v>1</v>
      </c>
      <c r="D21" s="653">
        <v>0</v>
      </c>
      <c r="E21" s="653">
        <v>1</v>
      </c>
      <c r="F21" s="652">
        <f t="shared" si="3"/>
        <v>1</v>
      </c>
      <c r="G21" s="648">
        <v>0</v>
      </c>
      <c r="H21" s="648">
        <v>1</v>
      </c>
      <c r="I21" s="634">
        <f t="shared" si="4"/>
        <v>1</v>
      </c>
      <c r="J21" s="611">
        <v>1</v>
      </c>
      <c r="K21" s="611">
        <v>0</v>
      </c>
      <c r="L21" s="634">
        <f t="shared" si="5"/>
        <v>0</v>
      </c>
      <c r="M21" s="611">
        <v>0</v>
      </c>
      <c r="N21" s="611">
        <v>0</v>
      </c>
      <c r="O21" s="611">
        <v>0</v>
      </c>
      <c r="P21" s="652">
        <f t="shared" si="6"/>
        <v>1</v>
      </c>
      <c r="Q21" s="611">
        <v>0</v>
      </c>
      <c r="R21" s="611">
        <v>0</v>
      </c>
      <c r="S21" s="611">
        <v>0</v>
      </c>
      <c r="T21" s="611">
        <v>1</v>
      </c>
      <c r="U21" s="611">
        <v>0</v>
      </c>
      <c r="V21" s="61"/>
      <c r="W21" s="61"/>
      <c r="X21" s="61"/>
      <c r="Y21" s="61"/>
      <c r="Z21" s="61"/>
      <c r="AA21" s="61"/>
      <c r="AB21" s="61"/>
      <c r="AC21" s="61"/>
    </row>
    <row r="22" spans="1:29" ht="15.75" customHeight="1">
      <c r="A22" s="623" t="s">
        <v>65</v>
      </c>
      <c r="B22" s="591" t="s">
        <v>336</v>
      </c>
      <c r="C22" s="651">
        <f t="shared" si="2"/>
        <v>1</v>
      </c>
      <c r="D22" s="653">
        <v>1</v>
      </c>
      <c r="E22" s="653">
        <v>0</v>
      </c>
      <c r="F22" s="652">
        <f t="shared" si="3"/>
        <v>1</v>
      </c>
      <c r="G22" s="648">
        <v>1</v>
      </c>
      <c r="H22" s="648">
        <v>0</v>
      </c>
      <c r="I22" s="634">
        <f t="shared" si="4"/>
        <v>1</v>
      </c>
      <c r="J22" s="611">
        <v>1</v>
      </c>
      <c r="K22" s="611">
        <v>0</v>
      </c>
      <c r="L22" s="634">
        <f t="shared" si="5"/>
        <v>0</v>
      </c>
      <c r="M22" s="611">
        <v>0</v>
      </c>
      <c r="N22" s="611">
        <v>0</v>
      </c>
      <c r="O22" s="611">
        <v>0</v>
      </c>
      <c r="P22" s="652">
        <f t="shared" si="6"/>
        <v>1</v>
      </c>
      <c r="Q22" s="611">
        <v>0</v>
      </c>
      <c r="R22" s="611">
        <v>0</v>
      </c>
      <c r="S22" s="611">
        <v>0</v>
      </c>
      <c r="T22" s="611">
        <v>0</v>
      </c>
      <c r="U22" s="611">
        <v>1</v>
      </c>
      <c r="V22" s="61"/>
      <c r="W22" s="61"/>
      <c r="X22" s="61"/>
      <c r="Y22" s="61"/>
      <c r="Z22" s="61"/>
      <c r="AA22" s="61"/>
      <c r="AB22" s="61"/>
      <c r="AC22" s="61"/>
    </row>
    <row r="23" spans="1:29" ht="17.25" customHeight="1">
      <c r="A23" s="623" t="s">
        <v>66</v>
      </c>
      <c r="B23" s="591" t="s">
        <v>337</v>
      </c>
      <c r="C23" s="651">
        <f t="shared" si="2"/>
        <v>0</v>
      </c>
      <c r="D23" s="653">
        <v>0</v>
      </c>
      <c r="E23" s="653">
        <v>0</v>
      </c>
      <c r="F23" s="652">
        <f t="shared" si="3"/>
        <v>0</v>
      </c>
      <c r="G23" s="648">
        <v>0</v>
      </c>
      <c r="H23" s="648">
        <v>0</v>
      </c>
      <c r="I23" s="634">
        <f t="shared" si="4"/>
        <v>0</v>
      </c>
      <c r="J23" s="611">
        <v>0</v>
      </c>
      <c r="K23" s="611">
        <v>0</v>
      </c>
      <c r="L23" s="634">
        <f t="shared" si="5"/>
        <v>0</v>
      </c>
      <c r="M23" s="611">
        <v>0</v>
      </c>
      <c r="N23" s="611">
        <v>0</v>
      </c>
      <c r="O23" s="611">
        <v>0</v>
      </c>
      <c r="P23" s="652">
        <f t="shared" si="6"/>
        <v>0</v>
      </c>
      <c r="Q23" s="611">
        <v>0</v>
      </c>
      <c r="R23" s="611">
        <v>0</v>
      </c>
      <c r="S23" s="611">
        <v>0</v>
      </c>
      <c r="T23" s="611">
        <v>0</v>
      </c>
      <c r="U23" s="611">
        <v>0</v>
      </c>
      <c r="V23" s="61"/>
      <c r="W23" s="61"/>
      <c r="X23" s="61"/>
      <c r="Y23" s="61"/>
      <c r="Z23" s="61"/>
      <c r="AA23" s="61"/>
      <c r="AB23" s="61"/>
      <c r="AC23" s="61"/>
    </row>
    <row r="24" spans="1:23" ht="17.25" customHeight="1">
      <c r="A24" s="623" t="s">
        <v>67</v>
      </c>
      <c r="B24" s="591" t="s">
        <v>338</v>
      </c>
      <c r="C24" s="651">
        <f t="shared" si="2"/>
        <v>0</v>
      </c>
      <c r="D24" s="653">
        <v>0</v>
      </c>
      <c r="E24" s="653">
        <v>0</v>
      </c>
      <c r="F24" s="652">
        <f t="shared" si="3"/>
        <v>0</v>
      </c>
      <c r="G24" s="648">
        <v>0</v>
      </c>
      <c r="H24" s="648">
        <v>0</v>
      </c>
      <c r="I24" s="634">
        <f t="shared" si="4"/>
        <v>0</v>
      </c>
      <c r="J24" s="611">
        <v>0</v>
      </c>
      <c r="K24" s="611">
        <v>0</v>
      </c>
      <c r="L24" s="634">
        <f t="shared" si="5"/>
        <v>0</v>
      </c>
      <c r="M24" s="611">
        <v>0</v>
      </c>
      <c r="N24" s="611">
        <v>0</v>
      </c>
      <c r="O24" s="611">
        <v>0</v>
      </c>
      <c r="P24" s="652">
        <f t="shared" si="6"/>
        <v>0</v>
      </c>
      <c r="Q24" s="611">
        <v>0</v>
      </c>
      <c r="R24" s="611">
        <v>0</v>
      </c>
      <c r="S24" s="611">
        <v>0</v>
      </c>
      <c r="T24" s="611">
        <v>0</v>
      </c>
      <c r="U24" s="611">
        <v>0</v>
      </c>
      <c r="W24" s="59" t="s">
        <v>3</v>
      </c>
    </row>
    <row r="25" spans="1:21" ht="17.25" customHeight="1" thickBot="1">
      <c r="A25" s="624" t="s">
        <v>85</v>
      </c>
      <c r="B25" s="592" t="s">
        <v>339</v>
      </c>
      <c r="C25" s="654">
        <f t="shared" si="2"/>
        <v>0</v>
      </c>
      <c r="D25" s="655">
        <v>0</v>
      </c>
      <c r="E25" s="655">
        <v>0</v>
      </c>
      <c r="F25" s="638">
        <f t="shared" si="3"/>
        <v>0</v>
      </c>
      <c r="G25" s="656">
        <v>0</v>
      </c>
      <c r="H25" s="656">
        <v>0</v>
      </c>
      <c r="I25" s="638">
        <f t="shared" si="4"/>
        <v>0</v>
      </c>
      <c r="J25" s="614">
        <v>0</v>
      </c>
      <c r="K25" s="614">
        <v>0</v>
      </c>
      <c r="L25" s="638">
        <f t="shared" si="5"/>
        <v>0</v>
      </c>
      <c r="M25" s="614">
        <v>0</v>
      </c>
      <c r="N25" s="614">
        <v>0</v>
      </c>
      <c r="O25" s="614">
        <v>0</v>
      </c>
      <c r="P25" s="657">
        <f t="shared" si="6"/>
        <v>0</v>
      </c>
      <c r="Q25" s="614">
        <v>0</v>
      </c>
      <c r="R25" s="614">
        <v>0</v>
      </c>
      <c r="S25" s="614">
        <v>0</v>
      </c>
      <c r="T25" s="614">
        <v>0</v>
      </c>
      <c r="U25" s="614">
        <v>0</v>
      </c>
    </row>
    <row r="26" spans="1:21" ht="15.75" customHeight="1" thickTop="1">
      <c r="A26" s="842" t="str">
        <f>'Thông tin'!B7</f>
        <v>Bình Thuận, ngày 06 tháng 4 năm 2016</v>
      </c>
      <c r="B26" s="842"/>
      <c r="C26" s="842"/>
      <c r="D26" s="842"/>
      <c r="E26" s="842"/>
      <c r="F26" s="842"/>
      <c r="G26" s="842"/>
      <c r="H26" s="842"/>
      <c r="I26" s="8"/>
      <c r="J26" s="8"/>
      <c r="K26" s="8"/>
      <c r="L26" s="8"/>
      <c r="M26" s="1079" t="str">
        <f>'Thông tin'!B7</f>
        <v>Bình Thuận, ngày 06 tháng 4 năm 2016</v>
      </c>
      <c r="N26" s="1079"/>
      <c r="O26" s="1079"/>
      <c r="P26" s="1079"/>
      <c r="Q26" s="1079"/>
      <c r="R26" s="1079"/>
      <c r="S26" s="1079"/>
      <c r="T26" s="1079"/>
      <c r="U26" s="1079"/>
    </row>
    <row r="27" spans="1:21" ht="15" customHeight="1">
      <c r="A27" s="1047" t="s">
        <v>4</v>
      </c>
      <c r="B27" s="1047"/>
      <c r="C27" s="1047"/>
      <c r="D27" s="1047"/>
      <c r="E27" s="1047"/>
      <c r="F27" s="1047"/>
      <c r="G27" s="1047"/>
      <c r="H27" s="1047"/>
      <c r="I27" s="578"/>
      <c r="J27" s="578"/>
      <c r="K27" s="578"/>
      <c r="L27" s="578"/>
      <c r="M27" s="1048" t="s">
        <v>355</v>
      </c>
      <c r="N27" s="1048"/>
      <c r="O27" s="1048"/>
      <c r="P27" s="1048"/>
      <c r="Q27" s="1048"/>
      <c r="R27" s="1048"/>
      <c r="S27" s="1048"/>
      <c r="T27" s="1048"/>
      <c r="U27" s="1048"/>
    </row>
    <row r="28" spans="1:21" ht="16.5">
      <c r="A28" s="306"/>
      <c r="B28" s="1049"/>
      <c r="C28" s="1049"/>
      <c r="D28" s="570"/>
      <c r="E28" s="72"/>
      <c r="F28" s="579"/>
      <c r="G28" s="580"/>
      <c r="H28" s="580"/>
      <c r="I28" s="580"/>
      <c r="J28" s="580"/>
      <c r="K28" s="580"/>
      <c r="L28" s="580"/>
      <c r="M28" s="843" t="s">
        <v>354</v>
      </c>
      <c r="N28" s="843"/>
      <c r="O28" s="843"/>
      <c r="P28" s="843"/>
      <c r="Q28" s="843"/>
      <c r="R28" s="843"/>
      <c r="S28" s="843"/>
      <c r="T28" s="843"/>
      <c r="U28" s="843"/>
    </row>
    <row r="29" spans="1:21" ht="16.5">
      <c r="A29" s="306"/>
      <c r="B29" s="306"/>
      <c r="C29" s="497"/>
      <c r="D29" s="571"/>
      <c r="E29" s="72"/>
      <c r="F29" s="49"/>
      <c r="G29" s="49"/>
      <c r="H29" s="49"/>
      <c r="I29" s="49"/>
      <c r="J29" s="49"/>
      <c r="K29" s="49"/>
      <c r="L29" s="49"/>
      <c r="M29" s="72"/>
      <c r="N29" s="569"/>
      <c r="O29" s="569"/>
      <c r="P29" s="569"/>
      <c r="Q29" s="569"/>
      <c r="R29" s="49"/>
      <c r="S29" s="49"/>
      <c r="T29" s="49"/>
      <c r="U29" s="49"/>
    </row>
    <row r="30" spans="1:21" ht="14.25" customHeight="1">
      <c r="A30" s="306"/>
      <c r="B30" s="306"/>
      <c r="C30" s="497"/>
      <c r="D30" s="571"/>
      <c r="E30" s="72"/>
      <c r="F30" s="49"/>
      <c r="G30" s="49"/>
      <c r="H30" s="49"/>
      <c r="I30" s="49"/>
      <c r="J30" s="49" t="s">
        <v>3</v>
      </c>
      <c r="K30" s="49"/>
      <c r="L30" s="49"/>
      <c r="M30" s="72"/>
      <c r="N30" s="569"/>
      <c r="O30" s="569"/>
      <c r="P30" s="569"/>
      <c r="Q30" s="569"/>
      <c r="R30" s="49"/>
      <c r="S30" s="49"/>
      <c r="T30" s="49"/>
      <c r="U30" s="49"/>
    </row>
    <row r="31" spans="1:21" ht="19.5" customHeight="1">
      <c r="A31" s="843" t="str">
        <f>'Thông tin'!B4</f>
        <v>Trần Quốc Bảo</v>
      </c>
      <c r="B31" s="843"/>
      <c r="C31" s="843"/>
      <c r="D31" s="843"/>
      <c r="E31" s="843"/>
      <c r="F31" s="843"/>
      <c r="G31" s="843"/>
      <c r="H31" s="49"/>
      <c r="I31" s="49"/>
      <c r="J31" s="49"/>
      <c r="K31" s="49"/>
      <c r="L31" s="49"/>
      <c r="M31" s="843" t="str">
        <f>'Thông tin'!B5</f>
        <v>Trần Nam</v>
      </c>
      <c r="N31" s="843"/>
      <c r="O31" s="843"/>
      <c r="P31" s="843"/>
      <c r="Q31" s="843"/>
      <c r="R31" s="843"/>
      <c r="S31" s="843"/>
      <c r="T31" s="843"/>
      <c r="U31" s="843"/>
    </row>
    <row r="32" spans="1:21" ht="15.75">
      <c r="A32" s="49"/>
      <c r="B32" s="49"/>
      <c r="C32" s="49"/>
      <c r="D32" s="49"/>
      <c r="E32" s="49"/>
      <c r="F32" s="49"/>
      <c r="G32" s="49"/>
      <c r="H32" s="49"/>
      <c r="I32" s="49"/>
      <c r="J32" s="49"/>
      <c r="K32" s="49"/>
      <c r="L32" s="49"/>
      <c r="M32" s="49"/>
      <c r="N32" s="49"/>
      <c r="O32" s="1078"/>
      <c r="P32" s="1078"/>
      <c r="Q32" s="1078"/>
      <c r="R32" s="1078"/>
      <c r="S32" s="1078"/>
      <c r="T32" s="1078"/>
      <c r="U32" s="49"/>
    </row>
    <row r="34" ht="15.75" hidden="1"/>
    <row r="35" spans="1:14" ht="12.75" customHeight="1" hidden="1">
      <c r="A35" s="140" t="s">
        <v>216</v>
      </c>
      <c r="B35" s="138"/>
      <c r="C35" s="138"/>
      <c r="D35" s="138"/>
      <c r="E35" s="138"/>
      <c r="F35" s="138"/>
      <c r="G35" s="138"/>
      <c r="H35" s="138"/>
      <c r="I35" s="138"/>
      <c r="J35" s="138"/>
      <c r="K35" s="138"/>
      <c r="L35" s="138"/>
      <c r="M35" s="138"/>
      <c r="N35" s="138"/>
    </row>
    <row r="36" spans="1:22" s="127" customFormat="1" ht="15.75" customHeight="1" hidden="1">
      <c r="A36" s="1077" t="s">
        <v>217</v>
      </c>
      <c r="B36" s="1077"/>
      <c r="C36" s="1077"/>
      <c r="D36" s="1077"/>
      <c r="E36" s="1077"/>
      <c r="F36" s="1077"/>
      <c r="G36" s="1077"/>
      <c r="H36" s="1077"/>
      <c r="I36" s="1077"/>
      <c r="J36" s="1077"/>
      <c r="K36" s="1077"/>
      <c r="L36" s="138"/>
      <c r="M36" s="138"/>
      <c r="N36" s="138"/>
      <c r="O36" s="7"/>
      <c r="P36" s="7"/>
      <c r="Q36" s="7"/>
      <c r="R36" s="7"/>
      <c r="S36" s="7"/>
      <c r="T36" s="7"/>
      <c r="U36" s="7"/>
      <c r="V36" s="7"/>
    </row>
    <row r="37" spans="1:22" s="128" customFormat="1" ht="15" hidden="1">
      <c r="A37" s="35" t="s">
        <v>218</v>
      </c>
      <c r="B37" s="35"/>
      <c r="C37" s="35"/>
      <c r="D37" s="35"/>
      <c r="E37" s="35"/>
      <c r="F37" s="35"/>
      <c r="G37" s="35"/>
      <c r="H37" s="35"/>
      <c r="I37" s="35"/>
      <c r="J37" s="35"/>
      <c r="K37" s="35"/>
      <c r="L37" s="35"/>
      <c r="M37" s="35"/>
      <c r="N37" s="35"/>
      <c r="O37" s="35"/>
      <c r="P37" s="35"/>
      <c r="Q37" s="35"/>
      <c r="R37" s="35"/>
      <c r="S37" s="35"/>
      <c r="T37" s="35"/>
      <c r="U37" s="35"/>
      <c r="V37" s="35"/>
    </row>
    <row r="38" spans="1:22" s="127" customFormat="1" ht="15" hidden="1">
      <c r="A38" s="35" t="s">
        <v>219</v>
      </c>
      <c r="B38" s="35"/>
      <c r="C38" s="35"/>
      <c r="D38" s="35"/>
      <c r="E38" s="35"/>
      <c r="F38" s="35"/>
      <c r="G38" s="35"/>
      <c r="H38" s="35"/>
      <c r="I38" s="35"/>
      <c r="J38" s="35"/>
      <c r="K38" s="35"/>
      <c r="L38" s="7"/>
      <c r="M38" s="7"/>
      <c r="N38" s="7"/>
      <c r="O38" s="7"/>
      <c r="P38" s="7"/>
      <c r="Q38" s="7"/>
      <c r="R38" s="7"/>
      <c r="S38" s="7"/>
      <c r="T38" s="7"/>
      <c r="U38" s="7"/>
      <c r="V38" s="7"/>
    </row>
    <row r="39" spans="1:22" s="127" customFormat="1" ht="15">
      <c r="A39" s="7"/>
      <c r="B39" s="7"/>
      <c r="C39" s="7"/>
      <c r="D39" s="7"/>
      <c r="E39" s="7"/>
      <c r="F39" s="7"/>
      <c r="G39" s="7"/>
      <c r="H39" s="7"/>
      <c r="I39" s="7"/>
      <c r="J39" s="7"/>
      <c r="K39" s="7"/>
      <c r="L39" s="7"/>
      <c r="M39" s="7"/>
      <c r="N39" s="7"/>
      <c r="O39" s="7"/>
      <c r="P39" s="7"/>
      <c r="Q39" s="7"/>
      <c r="R39" s="7"/>
      <c r="S39" s="7"/>
      <c r="T39" s="7"/>
      <c r="U39" s="7"/>
      <c r="V39" s="7"/>
    </row>
    <row r="40" spans="1:14" ht="15.75">
      <c r="A40" s="126"/>
      <c r="B40" s="126"/>
      <c r="C40" s="126"/>
      <c r="D40" s="126"/>
      <c r="E40" s="126"/>
      <c r="F40" s="126"/>
      <c r="G40" s="126"/>
      <c r="H40" s="126"/>
      <c r="I40" s="126"/>
      <c r="J40" s="126"/>
      <c r="K40" s="126"/>
      <c r="L40" s="126"/>
      <c r="M40" s="126"/>
      <c r="N40" s="126"/>
    </row>
  </sheetData>
  <sheetProtection/>
  <mergeCells count="53">
    <mergeCell ref="E4:O4"/>
    <mergeCell ref="A26:H26"/>
    <mergeCell ref="A27:H27"/>
    <mergeCell ref="A31:G31"/>
    <mergeCell ref="L9:L11"/>
    <mergeCell ref="M9:O9"/>
    <mergeCell ref="M10:M11"/>
    <mergeCell ref="N10:N11"/>
    <mergeCell ref="O10:O11"/>
    <mergeCell ref="K10:K11"/>
    <mergeCell ref="P1:U1"/>
    <mergeCell ref="P3:U3"/>
    <mergeCell ref="U8:U11"/>
    <mergeCell ref="T8:T11"/>
    <mergeCell ref="Q8:Q11"/>
    <mergeCell ref="R8:R11"/>
    <mergeCell ref="S8:S11"/>
    <mergeCell ref="P5:U5"/>
    <mergeCell ref="P4:U4"/>
    <mergeCell ref="A36:K36"/>
    <mergeCell ref="O32:T32"/>
    <mergeCell ref="M26:U26"/>
    <mergeCell ref="M27:U27"/>
    <mergeCell ref="M28:U28"/>
    <mergeCell ref="M31:U31"/>
    <mergeCell ref="B28:C28"/>
    <mergeCell ref="A13:B13"/>
    <mergeCell ref="P6:U6"/>
    <mergeCell ref="F7:H8"/>
    <mergeCell ref="I7:O7"/>
    <mergeCell ref="P7:P11"/>
    <mergeCell ref="Q7:U7"/>
    <mergeCell ref="I8:K8"/>
    <mergeCell ref="L8:O8"/>
    <mergeCell ref="A12:B12"/>
    <mergeCell ref="F6:O6"/>
    <mergeCell ref="G10:G11"/>
    <mergeCell ref="H10:H11"/>
    <mergeCell ref="J10:J11"/>
    <mergeCell ref="F9:F11"/>
    <mergeCell ref="G9:H9"/>
    <mergeCell ref="I9:I11"/>
    <mergeCell ref="J9:K9"/>
    <mergeCell ref="A1:D1"/>
    <mergeCell ref="A6:B11"/>
    <mergeCell ref="C6:E8"/>
    <mergeCell ref="C9:C11"/>
    <mergeCell ref="D9:E9"/>
    <mergeCell ref="E10:E11"/>
    <mergeCell ref="D10:D11"/>
    <mergeCell ref="E1:O1"/>
    <mergeCell ref="E2:O2"/>
    <mergeCell ref="E3:O3"/>
  </mergeCells>
  <printOptions/>
  <pageMargins left="0" right="0" top="0" bottom="0"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2"/>
  </sheetPr>
  <dimension ref="A1:L32"/>
  <sheetViews>
    <sheetView workbookViewId="0" topLeftCell="A22">
      <selection activeCell="G16" sqref="G16"/>
    </sheetView>
  </sheetViews>
  <sheetFormatPr defaultColWidth="9.00390625" defaultRowHeight="15.75"/>
  <cols>
    <col min="1" max="1" width="3.625" style="0" customWidth="1"/>
    <col min="2" max="2" width="23.625" style="0" customWidth="1"/>
    <col min="3" max="3" width="10.50390625" style="0" customWidth="1"/>
    <col min="4" max="4" width="11.00390625" style="0" customWidth="1"/>
    <col min="5" max="5" width="10.875" style="0" customWidth="1"/>
    <col min="6" max="6" width="10.375" style="0" customWidth="1"/>
    <col min="7" max="7" width="9.875" style="0" customWidth="1"/>
    <col min="8" max="8" width="10.75390625" style="0" customWidth="1"/>
    <col min="9" max="9" width="11.00390625" style="0" customWidth="1"/>
    <col min="10" max="10" width="9.625" style="0" customWidth="1"/>
    <col min="11" max="11" width="10.375" style="0" customWidth="1"/>
    <col min="12" max="12" width="10.50390625" style="0" customWidth="1"/>
  </cols>
  <sheetData>
    <row r="1" spans="1:12" ht="16.5">
      <c r="A1" s="1089" t="s">
        <v>434</v>
      </c>
      <c r="B1" s="1089"/>
      <c r="C1" s="1089"/>
      <c r="D1" s="1090" t="s">
        <v>450</v>
      </c>
      <c r="E1" s="1090"/>
      <c r="F1" s="1090"/>
      <c r="G1" s="1090"/>
      <c r="H1" s="1090"/>
      <c r="I1" s="1090"/>
      <c r="J1" s="1091" t="s">
        <v>358</v>
      </c>
      <c r="K1" s="1091"/>
      <c r="L1" s="1091"/>
    </row>
    <row r="2" spans="1:12" ht="16.5">
      <c r="A2" s="1092" t="s">
        <v>451</v>
      </c>
      <c r="B2" s="1092"/>
      <c r="C2" s="1092"/>
      <c r="D2" s="1090"/>
      <c r="E2" s="1090"/>
      <c r="F2" s="1090"/>
      <c r="G2" s="1090"/>
      <c r="H2" s="1090"/>
      <c r="I2" s="1090"/>
      <c r="J2" s="1093" t="s">
        <v>347</v>
      </c>
      <c r="K2" s="1093"/>
      <c r="L2" s="1093"/>
    </row>
    <row r="3" spans="1:12" ht="16.5">
      <c r="A3" s="1089" t="s">
        <v>248</v>
      </c>
      <c r="B3" s="1089"/>
      <c r="C3" s="1089"/>
      <c r="D3" s="1090"/>
      <c r="E3" s="1090"/>
      <c r="F3" s="1090"/>
      <c r="G3" s="1090"/>
      <c r="H3" s="1090"/>
      <c r="I3" s="1090"/>
      <c r="J3" s="1091" t="s">
        <v>359</v>
      </c>
      <c r="K3" s="1091"/>
      <c r="L3" s="1091"/>
    </row>
    <row r="4" spans="1:12" ht="16.5">
      <c r="A4" s="434" t="s">
        <v>86</v>
      </c>
      <c r="B4" s="434"/>
      <c r="C4" s="399"/>
      <c r="D4" s="1094" t="s">
        <v>408</v>
      </c>
      <c r="E4" s="1094"/>
      <c r="F4" s="1094"/>
      <c r="G4" s="1094"/>
      <c r="H4" s="1094"/>
      <c r="I4" s="1094"/>
      <c r="J4" s="1093" t="s">
        <v>350</v>
      </c>
      <c r="K4" s="1093"/>
      <c r="L4" s="1093"/>
    </row>
    <row r="5" spans="1:12" ht="15.75">
      <c r="A5" s="434"/>
      <c r="B5" s="434"/>
      <c r="C5" s="399"/>
      <c r="D5" s="399"/>
      <c r="E5" s="399"/>
      <c r="F5" s="399"/>
      <c r="G5" s="399"/>
      <c r="H5" s="399"/>
      <c r="I5" s="399"/>
      <c r="J5" s="1095" t="s">
        <v>8</v>
      </c>
      <c r="K5" s="1095"/>
      <c r="L5" s="1095"/>
    </row>
    <row r="6" spans="1:12" ht="15.75">
      <c r="A6" s="852" t="s">
        <v>61</v>
      </c>
      <c r="B6" s="852"/>
      <c r="C6" s="1096" t="s">
        <v>435</v>
      </c>
      <c r="D6" s="1097" t="s">
        <v>436</v>
      </c>
      <c r="E6" s="1097"/>
      <c r="F6" s="1097"/>
      <c r="G6" s="1097"/>
      <c r="H6" s="1097"/>
      <c r="I6" s="1097"/>
      <c r="J6" s="852" t="s">
        <v>437</v>
      </c>
      <c r="K6" s="852"/>
      <c r="L6" s="852"/>
    </row>
    <row r="7" spans="1:12" ht="15.75">
      <c r="A7" s="852"/>
      <c r="B7" s="852"/>
      <c r="C7" s="1096"/>
      <c r="D7" s="1097" t="s">
        <v>6</v>
      </c>
      <c r="E7" s="1097"/>
      <c r="F7" s="1097"/>
      <c r="G7" s="1097"/>
      <c r="H7" s="1097"/>
      <c r="I7" s="1097"/>
      <c r="J7" s="852"/>
      <c r="K7" s="852"/>
      <c r="L7" s="852"/>
    </row>
    <row r="8" spans="1:12" ht="15.75">
      <c r="A8" s="852"/>
      <c r="B8" s="852"/>
      <c r="C8" s="1096"/>
      <c r="D8" s="852" t="s">
        <v>438</v>
      </c>
      <c r="E8" s="852" t="s">
        <v>439</v>
      </c>
      <c r="F8" s="852"/>
      <c r="G8" s="852"/>
      <c r="H8" s="852"/>
      <c r="I8" s="852"/>
      <c r="J8" s="852"/>
      <c r="K8" s="852"/>
      <c r="L8" s="852"/>
    </row>
    <row r="9" spans="1:12" ht="15.75">
      <c r="A9" s="852"/>
      <c r="B9" s="852"/>
      <c r="C9" s="1096"/>
      <c r="D9" s="852"/>
      <c r="E9" s="852" t="s">
        <v>440</v>
      </c>
      <c r="F9" s="852" t="s">
        <v>6</v>
      </c>
      <c r="G9" s="852"/>
      <c r="H9" s="852"/>
      <c r="I9" s="852"/>
      <c r="J9" s="852" t="s">
        <v>6</v>
      </c>
      <c r="K9" s="852"/>
      <c r="L9" s="852"/>
    </row>
    <row r="10" spans="1:12" ht="76.5">
      <c r="A10" s="852"/>
      <c r="B10" s="852"/>
      <c r="C10" s="1096"/>
      <c r="D10" s="852"/>
      <c r="E10" s="852"/>
      <c r="F10" s="422" t="s">
        <v>441</v>
      </c>
      <c r="G10" s="422" t="s">
        <v>442</v>
      </c>
      <c r="H10" s="422" t="s">
        <v>443</v>
      </c>
      <c r="I10" s="422" t="s">
        <v>444</v>
      </c>
      <c r="J10" s="422" t="s">
        <v>445</v>
      </c>
      <c r="K10" s="422" t="s">
        <v>446</v>
      </c>
      <c r="L10" s="422" t="s">
        <v>447</v>
      </c>
    </row>
    <row r="11" spans="1:12" ht="15.75">
      <c r="A11" s="838" t="s">
        <v>448</v>
      </c>
      <c r="B11" s="839"/>
      <c r="C11" s="435">
        <v>1</v>
      </c>
      <c r="D11" s="435" t="s">
        <v>38</v>
      </c>
      <c r="E11" s="435" t="s">
        <v>43</v>
      </c>
      <c r="F11" s="435" t="s">
        <v>62</v>
      </c>
      <c r="G11" s="435" t="s">
        <v>63</v>
      </c>
      <c r="H11" s="435" t="s">
        <v>64</v>
      </c>
      <c r="I11" s="435" t="s">
        <v>65</v>
      </c>
      <c r="J11" s="435" t="s">
        <v>66</v>
      </c>
      <c r="K11" s="435" t="s">
        <v>67</v>
      </c>
      <c r="L11" s="435" t="s">
        <v>85</v>
      </c>
    </row>
    <row r="12" spans="1:12" ht="15.75">
      <c r="A12" s="1098" t="s">
        <v>26</v>
      </c>
      <c r="B12" s="1099"/>
      <c r="C12" s="426">
        <f>C13+C14</f>
        <v>107</v>
      </c>
      <c r="D12" s="426">
        <f aca="true" t="shared" si="0" ref="D12:L12">D13+D14</f>
        <v>75</v>
      </c>
      <c r="E12" s="426">
        <f t="shared" si="0"/>
        <v>32</v>
      </c>
      <c r="F12" s="426">
        <f t="shared" si="0"/>
        <v>14</v>
      </c>
      <c r="G12" s="426">
        <f t="shared" si="0"/>
        <v>14</v>
      </c>
      <c r="H12" s="426">
        <f t="shared" si="0"/>
        <v>2</v>
      </c>
      <c r="I12" s="426">
        <f t="shared" si="0"/>
        <v>2</v>
      </c>
      <c r="J12" s="426">
        <f t="shared" si="0"/>
        <v>2</v>
      </c>
      <c r="K12" s="426">
        <f t="shared" si="0"/>
        <v>67</v>
      </c>
      <c r="L12" s="426">
        <f t="shared" si="0"/>
        <v>8</v>
      </c>
    </row>
    <row r="13" spans="1:12" ht="15.75">
      <c r="A13" s="658" t="s">
        <v>0</v>
      </c>
      <c r="B13" s="659" t="s">
        <v>84</v>
      </c>
      <c r="C13" s="660">
        <f>D13+E13</f>
        <v>4</v>
      </c>
      <c r="D13" s="661">
        <v>3</v>
      </c>
      <c r="E13" s="660">
        <f>F13+G13+H13+I13</f>
        <v>1</v>
      </c>
      <c r="F13" s="661">
        <v>0</v>
      </c>
      <c r="G13" s="661">
        <v>0</v>
      </c>
      <c r="H13" s="661">
        <v>0</v>
      </c>
      <c r="I13" s="661">
        <v>1</v>
      </c>
      <c r="J13" s="661">
        <v>0</v>
      </c>
      <c r="K13" s="661">
        <v>4</v>
      </c>
      <c r="L13" s="661">
        <v>0</v>
      </c>
    </row>
    <row r="14" spans="1:12" ht="15.75">
      <c r="A14" s="690" t="s">
        <v>1</v>
      </c>
      <c r="B14" s="689" t="s">
        <v>14</v>
      </c>
      <c r="C14" s="660">
        <f>C15+C16+C17+C18+C19+C20+C21+C22+C23+C24</f>
        <v>103</v>
      </c>
      <c r="D14" s="660">
        <f aca="true" t="shared" si="1" ref="D14:L14">D15+D16+D17+D18+D19+D20+D21+D22+D23+D24</f>
        <v>72</v>
      </c>
      <c r="E14" s="660">
        <f t="shared" si="1"/>
        <v>31</v>
      </c>
      <c r="F14" s="660">
        <f t="shared" si="1"/>
        <v>14</v>
      </c>
      <c r="G14" s="660">
        <f t="shared" si="1"/>
        <v>14</v>
      </c>
      <c r="H14" s="660">
        <f t="shared" si="1"/>
        <v>2</v>
      </c>
      <c r="I14" s="660">
        <f t="shared" si="1"/>
        <v>1</v>
      </c>
      <c r="J14" s="660">
        <f t="shared" si="1"/>
        <v>2</v>
      </c>
      <c r="K14" s="660">
        <f t="shared" si="1"/>
        <v>63</v>
      </c>
      <c r="L14" s="660">
        <f t="shared" si="1"/>
        <v>8</v>
      </c>
    </row>
    <row r="15" spans="1:12" ht="15.75">
      <c r="A15" s="662" t="s">
        <v>37</v>
      </c>
      <c r="B15" s="591" t="s">
        <v>330</v>
      </c>
      <c r="C15" s="660">
        <f>D15+E15</f>
        <v>3</v>
      </c>
      <c r="D15" s="661">
        <v>3</v>
      </c>
      <c r="E15" s="660">
        <f>F15+G15+H15+I15</f>
        <v>0</v>
      </c>
      <c r="F15" s="661">
        <v>0</v>
      </c>
      <c r="G15" s="661">
        <v>0</v>
      </c>
      <c r="H15" s="661">
        <v>0</v>
      </c>
      <c r="I15" s="661">
        <v>0</v>
      </c>
      <c r="J15" s="661">
        <v>0</v>
      </c>
      <c r="K15" s="661">
        <v>3</v>
      </c>
      <c r="L15" s="661">
        <v>0</v>
      </c>
    </row>
    <row r="16" spans="1:12" ht="15.75">
      <c r="A16" s="662">
        <v>2</v>
      </c>
      <c r="B16" s="591" t="s">
        <v>331</v>
      </c>
      <c r="C16" s="660">
        <f aca="true" t="shared" si="2" ref="C16:C24">D16+E16</f>
        <v>68</v>
      </c>
      <c r="D16" s="661">
        <v>68</v>
      </c>
      <c r="E16" s="660">
        <f aca="true" t="shared" si="3" ref="E16:E24">F16+G16+H16+I16</f>
        <v>0</v>
      </c>
      <c r="F16" s="661">
        <v>0</v>
      </c>
      <c r="G16" s="661">
        <v>0</v>
      </c>
      <c r="H16" s="661">
        <v>0</v>
      </c>
      <c r="I16" s="661">
        <v>0</v>
      </c>
      <c r="J16" s="661">
        <v>0</v>
      </c>
      <c r="K16" s="661">
        <v>38</v>
      </c>
      <c r="L16" s="661">
        <v>0</v>
      </c>
    </row>
    <row r="17" spans="1:12" ht="15.75">
      <c r="A17" s="662">
        <v>3</v>
      </c>
      <c r="B17" s="591" t="s">
        <v>332</v>
      </c>
      <c r="C17" s="660">
        <f t="shared" si="2"/>
        <v>9</v>
      </c>
      <c r="D17" s="661">
        <v>1</v>
      </c>
      <c r="E17" s="660">
        <f t="shared" si="3"/>
        <v>8</v>
      </c>
      <c r="F17" s="661">
        <v>8</v>
      </c>
      <c r="G17" s="661">
        <v>0</v>
      </c>
      <c r="H17" s="661">
        <v>0</v>
      </c>
      <c r="I17" s="661">
        <v>0</v>
      </c>
      <c r="J17" s="661">
        <v>0</v>
      </c>
      <c r="K17" s="661">
        <v>1</v>
      </c>
      <c r="L17" s="661">
        <v>8</v>
      </c>
    </row>
    <row r="18" spans="1:12" ht="15.75">
      <c r="A18" s="662">
        <v>4</v>
      </c>
      <c r="B18" s="591" t="s">
        <v>333</v>
      </c>
      <c r="C18" s="660">
        <f t="shared" si="2"/>
        <v>5</v>
      </c>
      <c r="D18" s="661">
        <v>0</v>
      </c>
      <c r="E18" s="660">
        <f t="shared" si="3"/>
        <v>5</v>
      </c>
      <c r="F18" s="661">
        <v>5</v>
      </c>
      <c r="G18" s="661">
        <v>0</v>
      </c>
      <c r="H18" s="661">
        <v>0</v>
      </c>
      <c r="I18" s="661">
        <v>0</v>
      </c>
      <c r="J18" s="661">
        <v>0</v>
      </c>
      <c r="K18" s="661">
        <v>5</v>
      </c>
      <c r="L18" s="661">
        <v>0</v>
      </c>
    </row>
    <row r="19" spans="1:12" ht="15.75">
      <c r="A19" s="662">
        <v>5</v>
      </c>
      <c r="B19" s="591" t="s">
        <v>334</v>
      </c>
      <c r="C19" s="660">
        <f t="shared" si="2"/>
        <v>10</v>
      </c>
      <c r="D19" s="661">
        <v>0</v>
      </c>
      <c r="E19" s="660">
        <f t="shared" si="3"/>
        <v>10</v>
      </c>
      <c r="F19" s="661">
        <v>0</v>
      </c>
      <c r="G19" s="661">
        <v>8</v>
      </c>
      <c r="H19" s="661">
        <v>1</v>
      </c>
      <c r="I19" s="661">
        <v>1</v>
      </c>
      <c r="J19" s="661">
        <v>2</v>
      </c>
      <c r="K19" s="661">
        <v>8</v>
      </c>
      <c r="L19" s="661">
        <v>0</v>
      </c>
    </row>
    <row r="20" spans="1:12" ht="15.75">
      <c r="A20" s="662">
        <v>6</v>
      </c>
      <c r="B20" s="591" t="s">
        <v>335</v>
      </c>
      <c r="C20" s="660">
        <f t="shared" si="2"/>
        <v>2</v>
      </c>
      <c r="D20" s="661">
        <v>0</v>
      </c>
      <c r="E20" s="660">
        <f t="shared" si="3"/>
        <v>2</v>
      </c>
      <c r="F20" s="661">
        <v>0</v>
      </c>
      <c r="G20" s="661">
        <v>2</v>
      </c>
      <c r="H20" s="661">
        <v>0</v>
      </c>
      <c r="I20" s="661">
        <v>0</v>
      </c>
      <c r="J20" s="661">
        <v>0</v>
      </c>
      <c r="K20" s="661">
        <v>2</v>
      </c>
      <c r="L20" s="661">
        <v>0</v>
      </c>
    </row>
    <row r="21" spans="1:12" ht="15.75">
      <c r="A21" s="662">
        <v>7</v>
      </c>
      <c r="B21" s="591" t="s">
        <v>336</v>
      </c>
      <c r="C21" s="660">
        <f t="shared" si="2"/>
        <v>0</v>
      </c>
      <c r="D21" s="661">
        <v>0</v>
      </c>
      <c r="E21" s="660">
        <f t="shared" si="3"/>
        <v>0</v>
      </c>
      <c r="F21" s="661">
        <v>0</v>
      </c>
      <c r="G21" s="661">
        <v>0</v>
      </c>
      <c r="H21" s="661">
        <v>0</v>
      </c>
      <c r="I21" s="661">
        <v>0</v>
      </c>
      <c r="J21" s="661">
        <v>0</v>
      </c>
      <c r="K21" s="661">
        <v>0</v>
      </c>
      <c r="L21" s="661">
        <v>0</v>
      </c>
    </row>
    <row r="22" spans="1:12" ht="15.75">
      <c r="A22" s="662">
        <v>8</v>
      </c>
      <c r="B22" s="591" t="s">
        <v>337</v>
      </c>
      <c r="C22" s="660">
        <f t="shared" si="2"/>
        <v>1</v>
      </c>
      <c r="D22" s="661">
        <v>0</v>
      </c>
      <c r="E22" s="660">
        <f t="shared" si="3"/>
        <v>1</v>
      </c>
      <c r="F22" s="661">
        <v>1</v>
      </c>
      <c r="G22" s="661">
        <v>0</v>
      </c>
      <c r="H22" s="661">
        <v>0</v>
      </c>
      <c r="I22" s="661">
        <v>0</v>
      </c>
      <c r="J22" s="661">
        <v>0</v>
      </c>
      <c r="K22" s="661">
        <v>1</v>
      </c>
      <c r="L22" s="661">
        <v>0</v>
      </c>
    </row>
    <row r="23" spans="1:12" ht="15.75">
      <c r="A23" s="662">
        <v>9</v>
      </c>
      <c r="B23" s="591" t="s">
        <v>338</v>
      </c>
      <c r="C23" s="660">
        <f t="shared" si="2"/>
        <v>5</v>
      </c>
      <c r="D23" s="661">
        <v>0</v>
      </c>
      <c r="E23" s="660">
        <f t="shared" si="3"/>
        <v>5</v>
      </c>
      <c r="F23" s="661">
        <v>0</v>
      </c>
      <c r="G23" s="661">
        <v>4</v>
      </c>
      <c r="H23" s="661">
        <v>1</v>
      </c>
      <c r="I23" s="661">
        <v>0</v>
      </c>
      <c r="J23" s="661">
        <v>0</v>
      </c>
      <c r="K23" s="661">
        <v>5</v>
      </c>
      <c r="L23" s="661">
        <v>0</v>
      </c>
    </row>
    <row r="24" spans="1:12" ht="16.5" thickBot="1">
      <c r="A24" s="663">
        <v>10</v>
      </c>
      <c r="B24" s="592" t="s">
        <v>339</v>
      </c>
      <c r="C24" s="664">
        <f t="shared" si="2"/>
        <v>0</v>
      </c>
      <c r="D24" s="665">
        <v>0</v>
      </c>
      <c r="E24" s="664">
        <f t="shared" si="3"/>
        <v>0</v>
      </c>
      <c r="F24" s="665">
        <v>0</v>
      </c>
      <c r="G24" s="665">
        <v>0</v>
      </c>
      <c r="H24" s="665">
        <v>0</v>
      </c>
      <c r="I24" s="665">
        <v>0</v>
      </c>
      <c r="J24" s="665">
        <v>0</v>
      </c>
      <c r="K24" s="665">
        <v>0</v>
      </c>
      <c r="L24" s="665">
        <v>0</v>
      </c>
    </row>
    <row r="25" spans="1:12" ht="17.25" customHeight="1" thickTop="1">
      <c r="A25" s="1102" t="str">
        <f>'Thông tin'!B7</f>
        <v>Bình Thuận, ngày 06 tháng 4 năm 2016</v>
      </c>
      <c r="B25" s="1102"/>
      <c r="C25" s="1102"/>
      <c r="D25" s="1102"/>
      <c r="E25" s="436"/>
      <c r="F25" s="436"/>
      <c r="G25" s="436"/>
      <c r="H25" s="1100" t="str">
        <f>'Thông tin'!B7</f>
        <v>Bình Thuận, ngày 06 tháng 4 năm 2016</v>
      </c>
      <c r="I25" s="1100"/>
      <c r="J25" s="1100"/>
      <c r="K25" s="1100"/>
      <c r="L25" s="1100"/>
    </row>
    <row r="26" spans="1:12" ht="16.5">
      <c r="A26" s="1103" t="s">
        <v>4</v>
      </c>
      <c r="B26" s="1104"/>
      <c r="C26" s="1104"/>
      <c r="D26" s="1104"/>
      <c r="E26" s="436"/>
      <c r="F26" s="436"/>
      <c r="G26" s="436"/>
      <c r="H26" s="1101" t="s">
        <v>355</v>
      </c>
      <c r="I26" s="1101"/>
      <c r="J26" s="1101"/>
      <c r="K26" s="1101"/>
      <c r="L26" s="1101"/>
    </row>
    <row r="27" spans="1:12" ht="16.5">
      <c r="A27" s="1105"/>
      <c r="B27" s="1105"/>
      <c r="C27" s="1105"/>
      <c r="D27" s="1105"/>
      <c r="E27" s="437"/>
      <c r="F27" s="437"/>
      <c r="G27" s="437"/>
      <c r="H27" s="797" t="s">
        <v>354</v>
      </c>
      <c r="I27" s="797"/>
      <c r="J27" s="797"/>
      <c r="K27" s="797"/>
      <c r="L27" s="797"/>
    </row>
    <row r="28" spans="1:12" ht="15.75">
      <c r="A28" s="402"/>
      <c r="B28" s="437"/>
      <c r="C28" s="437"/>
      <c r="D28" s="437"/>
      <c r="E28" s="437"/>
      <c r="F28" s="437"/>
      <c r="G28" s="437"/>
      <c r="H28" s="437"/>
      <c r="I28" s="402"/>
      <c r="J28" s="402"/>
      <c r="K28" s="402"/>
      <c r="L28" s="402"/>
    </row>
    <row r="29" spans="1:12" ht="15.75">
      <c r="A29" s="402"/>
      <c r="B29" s="437"/>
      <c r="C29" s="437"/>
      <c r="D29" s="437"/>
      <c r="E29" s="437"/>
      <c r="F29" s="437"/>
      <c r="G29" s="437"/>
      <c r="H29" s="437"/>
      <c r="I29" s="437"/>
      <c r="J29" s="437"/>
      <c r="K29" s="402"/>
      <c r="L29" s="402"/>
    </row>
    <row r="30" spans="1:12" ht="15.75">
      <c r="A30" s="402"/>
      <c r="B30" s="437"/>
      <c r="C30" s="437"/>
      <c r="D30" s="437"/>
      <c r="E30" s="437"/>
      <c r="F30" s="437"/>
      <c r="G30" s="437"/>
      <c r="H30" s="437"/>
      <c r="I30" s="437"/>
      <c r="J30" s="437"/>
      <c r="K30" s="402"/>
      <c r="L30" s="402"/>
    </row>
    <row r="31" spans="1:12" ht="15.75">
      <c r="A31" s="402"/>
      <c r="B31" s="438"/>
      <c r="C31" s="402"/>
      <c r="D31" s="402"/>
      <c r="E31" s="402"/>
      <c r="F31" s="402"/>
      <c r="G31" s="402"/>
      <c r="H31" s="402"/>
      <c r="I31" s="402"/>
      <c r="J31" s="402"/>
      <c r="K31" s="402"/>
      <c r="L31" s="402"/>
    </row>
    <row r="32" spans="1:12" ht="16.5">
      <c r="A32" s="797" t="s">
        <v>352</v>
      </c>
      <c r="B32" s="797"/>
      <c r="C32" s="797"/>
      <c r="D32" s="797"/>
      <c r="E32" s="439"/>
      <c r="F32" s="439"/>
      <c r="G32" s="439"/>
      <c r="H32" s="797" t="s">
        <v>364</v>
      </c>
      <c r="I32" s="797"/>
      <c r="J32" s="797"/>
      <c r="K32" s="797"/>
      <c r="L32" s="797"/>
    </row>
  </sheetData>
  <mergeCells count="30">
    <mergeCell ref="A32:D32"/>
    <mergeCell ref="H32:L32"/>
    <mergeCell ref="A27:D27"/>
    <mergeCell ref="H27:L27"/>
    <mergeCell ref="A12:B12"/>
    <mergeCell ref="H25:L25"/>
    <mergeCell ref="H26:L26"/>
    <mergeCell ref="A25:D25"/>
    <mergeCell ref="A26:D26"/>
    <mergeCell ref="E9:E10"/>
    <mergeCell ref="F9:I9"/>
    <mergeCell ref="J9:L9"/>
    <mergeCell ref="A11:B11"/>
    <mergeCell ref="D4:I4"/>
    <mergeCell ref="J4:L4"/>
    <mergeCell ref="J5:L5"/>
    <mergeCell ref="A6:B10"/>
    <mergeCell ref="C6:C10"/>
    <mergeCell ref="D6:I6"/>
    <mergeCell ref="J6:L8"/>
    <mergeCell ref="D7:I7"/>
    <mergeCell ref="D8:D10"/>
    <mergeCell ref="E8:I8"/>
    <mergeCell ref="A1:C1"/>
    <mergeCell ref="D1:I3"/>
    <mergeCell ref="J1:L1"/>
    <mergeCell ref="A2:C2"/>
    <mergeCell ref="J2:L2"/>
    <mergeCell ref="A3:C3"/>
    <mergeCell ref="J3:L3"/>
  </mergeCells>
  <printOptions/>
  <pageMargins left="0" right="0" top="0.25"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1"/>
  </sheetPr>
  <dimension ref="A1:P32"/>
  <sheetViews>
    <sheetView workbookViewId="0" topLeftCell="A1">
      <selection activeCell="A1" sqref="A1:B1"/>
    </sheetView>
  </sheetViews>
  <sheetFormatPr defaultColWidth="9.00390625" defaultRowHeight="15.75"/>
  <cols>
    <col min="1" max="1" width="4.00390625" style="0" customWidth="1"/>
    <col min="2" max="2" width="22.625" style="0" customWidth="1"/>
    <col min="3" max="3" width="8.25390625" style="0" customWidth="1"/>
    <col min="4" max="4" width="7.50390625" style="0" customWidth="1"/>
    <col min="5" max="5" width="7.625" style="0" customWidth="1"/>
    <col min="6" max="6" width="8.00390625" style="0" customWidth="1"/>
    <col min="7" max="7" width="7.875" style="0" customWidth="1"/>
    <col min="8" max="8" width="7.625" style="0" customWidth="1"/>
    <col min="9" max="9" width="7.375" style="0" customWidth="1"/>
    <col min="10" max="10" width="7.875" style="0" customWidth="1"/>
    <col min="11" max="11" width="8.25390625" style="0" customWidth="1"/>
    <col min="12" max="12" width="8.00390625" style="0" customWidth="1"/>
    <col min="13" max="13" width="7.75390625" style="0" customWidth="1"/>
    <col min="14" max="14" width="7.50390625" style="0" customWidth="1"/>
    <col min="15" max="15" width="7.875" style="0" customWidth="1"/>
    <col min="16" max="16" width="6.75390625" style="0" customWidth="1"/>
  </cols>
  <sheetData>
    <row r="1" spans="1:16" ht="15.75">
      <c r="A1" s="1106" t="s">
        <v>18</v>
      </c>
      <c r="B1" s="1106"/>
      <c r="C1" s="421"/>
      <c r="D1" s="1107" t="s">
        <v>432</v>
      </c>
      <c r="E1" s="1107"/>
      <c r="F1" s="1107"/>
      <c r="G1" s="1107"/>
      <c r="H1" s="1107"/>
      <c r="I1" s="1107"/>
      <c r="J1" s="1107"/>
      <c r="K1" s="1107"/>
      <c r="L1" s="1107"/>
      <c r="M1" s="1108" t="s">
        <v>358</v>
      </c>
      <c r="N1" s="1108"/>
      <c r="O1" s="1108"/>
      <c r="P1" s="1108"/>
    </row>
    <row r="2" spans="1:16" ht="15.75" customHeight="1">
      <c r="A2" s="1133" t="s">
        <v>433</v>
      </c>
      <c r="B2" s="1133"/>
      <c r="C2" s="1133"/>
      <c r="D2" s="1107"/>
      <c r="E2" s="1107"/>
      <c r="F2" s="1107"/>
      <c r="G2" s="1107"/>
      <c r="H2" s="1107"/>
      <c r="I2" s="1107"/>
      <c r="J2" s="1107"/>
      <c r="K2" s="1107"/>
      <c r="L2" s="1107"/>
      <c r="M2" s="1109" t="s">
        <v>409</v>
      </c>
      <c r="N2" s="1110"/>
      <c r="O2" s="1110"/>
      <c r="P2" s="1110"/>
    </row>
    <row r="3" spans="1:16" ht="15.75" customHeight="1">
      <c r="A3" s="1133"/>
      <c r="B3" s="1133"/>
      <c r="C3" s="1133"/>
      <c r="D3" s="1107"/>
      <c r="E3" s="1107"/>
      <c r="F3" s="1107"/>
      <c r="G3" s="1107"/>
      <c r="H3" s="1107"/>
      <c r="I3" s="1107"/>
      <c r="J3" s="1107"/>
      <c r="K3" s="1107"/>
      <c r="L3" s="1107"/>
      <c r="M3" s="1108" t="s">
        <v>359</v>
      </c>
      <c r="N3" s="1108"/>
      <c r="O3" s="1108"/>
      <c r="P3" s="1108"/>
    </row>
    <row r="4" spans="1:16" ht="15.75" customHeight="1">
      <c r="A4" s="1132" t="s">
        <v>431</v>
      </c>
      <c r="B4" s="1132"/>
      <c r="C4" s="1132"/>
      <c r="D4" s="1134" t="s">
        <v>449</v>
      </c>
      <c r="E4" s="1134"/>
      <c r="F4" s="1134"/>
      <c r="G4" s="1134"/>
      <c r="H4" s="1134"/>
      <c r="I4" s="1134"/>
      <c r="J4" s="1134"/>
      <c r="K4" s="1134"/>
      <c r="L4" s="1134"/>
      <c r="M4" s="1109" t="s">
        <v>410</v>
      </c>
      <c r="N4" s="1109"/>
      <c r="O4" s="1109"/>
      <c r="P4" s="1109"/>
    </row>
    <row r="5" spans="4:16" ht="18" customHeight="1">
      <c r="D5" s="1111" t="s">
        <v>408</v>
      </c>
      <c r="E5" s="1111"/>
      <c r="F5" s="1111"/>
      <c r="G5" s="1111"/>
      <c r="H5" s="1111"/>
      <c r="I5" s="1111"/>
      <c r="J5" s="1111"/>
      <c r="K5" s="1111"/>
      <c r="L5" s="1111"/>
      <c r="M5" s="1112" t="s">
        <v>411</v>
      </c>
      <c r="N5" s="1112"/>
      <c r="O5" s="1112"/>
      <c r="P5" s="1112"/>
    </row>
    <row r="6" spans="1:16" ht="38.25" customHeight="1">
      <c r="A6" s="1113" t="s">
        <v>61</v>
      </c>
      <c r="B6" s="1114"/>
      <c r="C6" s="1119" t="s">
        <v>412</v>
      </c>
      <c r="D6" s="1120"/>
      <c r="E6" s="1120"/>
      <c r="F6" s="1120"/>
      <c r="G6" s="1120"/>
      <c r="H6" s="1120"/>
      <c r="I6" s="1120"/>
      <c r="J6" s="1120"/>
      <c r="K6" s="1096" t="s">
        <v>413</v>
      </c>
      <c r="L6" s="1096"/>
      <c r="M6" s="1096"/>
      <c r="N6" s="1096"/>
      <c r="O6" s="1096"/>
      <c r="P6" s="1096"/>
    </row>
    <row r="7" spans="1:16" ht="15.75">
      <c r="A7" s="1115"/>
      <c r="B7" s="1116"/>
      <c r="C7" s="1119" t="s">
        <v>2</v>
      </c>
      <c r="D7" s="1120"/>
      <c r="E7" s="1120"/>
      <c r="F7" s="1121"/>
      <c r="G7" s="1096" t="s">
        <v>10</v>
      </c>
      <c r="H7" s="1096"/>
      <c r="I7" s="1096"/>
      <c r="J7" s="1096"/>
      <c r="K7" s="1122" t="s">
        <v>2</v>
      </c>
      <c r="L7" s="1122"/>
      <c r="M7" s="1122"/>
      <c r="N7" s="1123" t="s">
        <v>10</v>
      </c>
      <c r="O7" s="1123"/>
      <c r="P7" s="1123"/>
    </row>
    <row r="8" spans="1:16" ht="27.75" customHeight="1">
      <c r="A8" s="1115"/>
      <c r="B8" s="1116"/>
      <c r="C8" s="1124" t="s">
        <v>414</v>
      </c>
      <c r="D8" s="1120" t="s">
        <v>415</v>
      </c>
      <c r="E8" s="1120"/>
      <c r="F8" s="1121"/>
      <c r="G8" s="1096" t="s">
        <v>416</v>
      </c>
      <c r="H8" s="1096" t="s">
        <v>415</v>
      </c>
      <c r="I8" s="1096"/>
      <c r="J8" s="1096"/>
      <c r="K8" s="1096" t="s">
        <v>417</v>
      </c>
      <c r="L8" s="1096" t="s">
        <v>418</v>
      </c>
      <c r="M8" s="1096"/>
      <c r="N8" s="1096" t="s">
        <v>419</v>
      </c>
      <c r="O8" s="1096" t="s">
        <v>418</v>
      </c>
      <c r="P8" s="1096"/>
    </row>
    <row r="9" spans="1:16" ht="15.75">
      <c r="A9" s="1115"/>
      <c r="B9" s="1116"/>
      <c r="C9" s="1124"/>
      <c r="D9" s="1096" t="s">
        <v>420</v>
      </c>
      <c r="E9" s="1096" t="s">
        <v>421</v>
      </c>
      <c r="F9" s="1096" t="s">
        <v>422</v>
      </c>
      <c r="G9" s="1096"/>
      <c r="H9" s="1096" t="s">
        <v>429</v>
      </c>
      <c r="I9" s="1096" t="s">
        <v>421</v>
      </c>
      <c r="J9" s="1096" t="s">
        <v>422</v>
      </c>
      <c r="K9" s="1096"/>
      <c r="L9" s="1096" t="s">
        <v>423</v>
      </c>
      <c r="M9" s="1096" t="s">
        <v>424</v>
      </c>
      <c r="N9" s="1096"/>
      <c r="O9" s="1096" t="s">
        <v>423</v>
      </c>
      <c r="P9" s="1096" t="s">
        <v>424</v>
      </c>
    </row>
    <row r="10" spans="1:16" ht="59.25" customHeight="1">
      <c r="A10" s="1117"/>
      <c r="B10" s="1118"/>
      <c r="C10" s="1125"/>
      <c r="D10" s="1096"/>
      <c r="E10" s="1096"/>
      <c r="F10" s="1096"/>
      <c r="G10" s="1096"/>
      <c r="H10" s="1096"/>
      <c r="I10" s="1096"/>
      <c r="J10" s="1096"/>
      <c r="K10" s="1096"/>
      <c r="L10" s="1096"/>
      <c r="M10" s="1096"/>
      <c r="N10" s="1096"/>
      <c r="O10" s="1096"/>
      <c r="P10" s="1096"/>
    </row>
    <row r="11" spans="1:16" ht="13.5" customHeight="1">
      <c r="A11" s="1126" t="s">
        <v>5</v>
      </c>
      <c r="B11" s="1127"/>
      <c r="C11" s="423">
        <v>1</v>
      </c>
      <c r="D11" s="423" t="s">
        <v>38</v>
      </c>
      <c r="E11" s="423" t="s">
        <v>43</v>
      </c>
      <c r="F11" s="423" t="s">
        <v>62</v>
      </c>
      <c r="G11" s="423" t="s">
        <v>63</v>
      </c>
      <c r="H11" s="423" t="s">
        <v>64</v>
      </c>
      <c r="I11" s="423" t="s">
        <v>65</v>
      </c>
      <c r="J11" s="423" t="s">
        <v>66</v>
      </c>
      <c r="K11" s="423" t="s">
        <v>67</v>
      </c>
      <c r="L11" s="423" t="s">
        <v>85</v>
      </c>
      <c r="M11" s="423" t="s">
        <v>425</v>
      </c>
      <c r="N11" s="423" t="s">
        <v>426</v>
      </c>
      <c r="O11" s="423" t="s">
        <v>427</v>
      </c>
      <c r="P11" s="423" t="s">
        <v>428</v>
      </c>
    </row>
    <row r="12" spans="1:16" ht="17.25" customHeight="1">
      <c r="A12" s="1128" t="s">
        <v>29</v>
      </c>
      <c r="B12" s="1129"/>
      <c r="C12" s="424">
        <f>C13+C14</f>
        <v>1</v>
      </c>
      <c r="D12" s="424">
        <f aca="true" t="shared" si="0" ref="D12:P12">D13+D14</f>
        <v>1</v>
      </c>
      <c r="E12" s="424">
        <f t="shared" si="0"/>
        <v>0</v>
      </c>
      <c r="F12" s="424">
        <f t="shared" si="0"/>
        <v>0</v>
      </c>
      <c r="G12" s="424">
        <f t="shared" si="0"/>
        <v>428865</v>
      </c>
      <c r="H12" s="424">
        <f t="shared" si="0"/>
        <v>428865</v>
      </c>
      <c r="I12" s="424">
        <f t="shared" si="0"/>
        <v>0</v>
      </c>
      <c r="J12" s="424">
        <f t="shared" si="0"/>
        <v>0</v>
      </c>
      <c r="K12" s="424">
        <f t="shared" si="0"/>
        <v>0</v>
      </c>
      <c r="L12" s="424">
        <f t="shared" si="0"/>
        <v>0</v>
      </c>
      <c r="M12" s="424">
        <f t="shared" si="0"/>
        <v>0</v>
      </c>
      <c r="N12" s="424">
        <f t="shared" si="0"/>
        <v>0</v>
      </c>
      <c r="O12" s="424">
        <f t="shared" si="0"/>
        <v>0</v>
      </c>
      <c r="P12" s="424">
        <f t="shared" si="0"/>
        <v>0</v>
      </c>
    </row>
    <row r="13" spans="1:16" ht="15.75">
      <c r="A13" s="425" t="s">
        <v>0</v>
      </c>
      <c r="B13" s="659" t="s">
        <v>84</v>
      </c>
      <c r="C13" s="660">
        <f>D13+E13+F13</f>
        <v>0</v>
      </c>
      <c r="D13" s="666">
        <v>0</v>
      </c>
      <c r="E13" s="666">
        <v>0</v>
      </c>
      <c r="F13" s="666">
        <v>0</v>
      </c>
      <c r="G13" s="667">
        <f>H13+I13+J13</f>
        <v>0</v>
      </c>
      <c r="H13" s="666">
        <v>0</v>
      </c>
      <c r="I13" s="666">
        <v>0</v>
      </c>
      <c r="J13" s="666">
        <v>0</v>
      </c>
      <c r="K13" s="667">
        <f>L13+M13+N13</f>
        <v>0</v>
      </c>
      <c r="L13" s="666">
        <v>0</v>
      </c>
      <c r="M13" s="666">
        <v>0</v>
      </c>
      <c r="N13" s="668">
        <f>O13+P13</f>
        <v>0</v>
      </c>
      <c r="O13" s="669">
        <v>0</v>
      </c>
      <c r="P13" s="669">
        <v>0</v>
      </c>
    </row>
    <row r="14" spans="1:16" ht="15.75">
      <c r="A14" s="688" t="s">
        <v>1</v>
      </c>
      <c r="B14" s="691" t="s">
        <v>14</v>
      </c>
      <c r="C14" s="660">
        <f>SUM(C15:C24)</f>
        <v>1</v>
      </c>
      <c r="D14" s="660">
        <f aca="true" t="shared" si="1" ref="D14:P14">SUM(D15:D24)</f>
        <v>1</v>
      </c>
      <c r="E14" s="660">
        <f t="shared" si="1"/>
        <v>0</v>
      </c>
      <c r="F14" s="660">
        <f t="shared" si="1"/>
        <v>0</v>
      </c>
      <c r="G14" s="660">
        <f t="shared" si="1"/>
        <v>428865</v>
      </c>
      <c r="H14" s="660">
        <f t="shared" si="1"/>
        <v>428865</v>
      </c>
      <c r="I14" s="660">
        <f t="shared" si="1"/>
        <v>0</v>
      </c>
      <c r="J14" s="660">
        <f t="shared" si="1"/>
        <v>0</v>
      </c>
      <c r="K14" s="660">
        <f t="shared" si="1"/>
        <v>0</v>
      </c>
      <c r="L14" s="660">
        <f t="shared" si="1"/>
        <v>0</v>
      </c>
      <c r="M14" s="660">
        <f t="shared" si="1"/>
        <v>0</v>
      </c>
      <c r="N14" s="660">
        <f t="shared" si="1"/>
        <v>0</v>
      </c>
      <c r="O14" s="660">
        <f t="shared" si="1"/>
        <v>0</v>
      </c>
      <c r="P14" s="660">
        <f t="shared" si="1"/>
        <v>0</v>
      </c>
    </row>
    <row r="15" spans="1:16" ht="15.75">
      <c r="A15" s="432">
        <v>1</v>
      </c>
      <c r="B15" s="591" t="s">
        <v>330</v>
      </c>
      <c r="C15" s="660">
        <f>D15+E15+F15</f>
        <v>0</v>
      </c>
      <c r="D15" s="666">
        <v>0</v>
      </c>
      <c r="E15" s="666">
        <v>0</v>
      </c>
      <c r="F15" s="666">
        <v>0</v>
      </c>
      <c r="G15" s="667">
        <f>H15+I15+J15</f>
        <v>0</v>
      </c>
      <c r="H15" s="666">
        <v>0</v>
      </c>
      <c r="I15" s="666">
        <v>0</v>
      </c>
      <c r="J15" s="666">
        <v>0</v>
      </c>
      <c r="K15" s="667">
        <f aca="true" t="shared" si="2" ref="K15:K24">L15+M15</f>
        <v>0</v>
      </c>
      <c r="L15" s="666">
        <v>0</v>
      </c>
      <c r="M15" s="666"/>
      <c r="N15" s="667">
        <f>O15+P15</f>
        <v>0</v>
      </c>
      <c r="O15" s="669">
        <v>0</v>
      </c>
      <c r="P15" s="669">
        <v>0</v>
      </c>
    </row>
    <row r="16" spans="1:16" ht="15.75">
      <c r="A16" s="432">
        <v>2</v>
      </c>
      <c r="B16" s="591" t="s">
        <v>331</v>
      </c>
      <c r="C16" s="660">
        <f aca="true" t="shared" si="3" ref="C16:C24">D16+E16+F16</f>
        <v>0</v>
      </c>
      <c r="D16" s="666">
        <v>0</v>
      </c>
      <c r="E16" s="666">
        <v>0</v>
      </c>
      <c r="F16" s="666">
        <v>0</v>
      </c>
      <c r="G16" s="667">
        <f aca="true" t="shared" si="4" ref="G16:G24">H16+I16+J16</f>
        <v>0</v>
      </c>
      <c r="H16" s="666">
        <v>0</v>
      </c>
      <c r="I16" s="666">
        <v>0</v>
      </c>
      <c r="J16" s="666">
        <v>0</v>
      </c>
      <c r="K16" s="667">
        <f t="shared" si="2"/>
        <v>0</v>
      </c>
      <c r="L16" s="666">
        <v>0</v>
      </c>
      <c r="M16" s="666">
        <v>0</v>
      </c>
      <c r="N16" s="667">
        <f aca="true" t="shared" si="5" ref="N16:N24">O16+P16</f>
        <v>0</v>
      </c>
      <c r="O16" s="669">
        <v>0</v>
      </c>
      <c r="P16" s="669">
        <v>0</v>
      </c>
    </row>
    <row r="17" spans="1:16" ht="15.75">
      <c r="A17" s="432">
        <v>3</v>
      </c>
      <c r="B17" s="591" t="s">
        <v>332</v>
      </c>
      <c r="C17" s="660">
        <f t="shared" si="3"/>
        <v>1</v>
      </c>
      <c r="D17" s="666">
        <v>1</v>
      </c>
      <c r="E17" s="666">
        <v>0</v>
      </c>
      <c r="F17" s="666">
        <v>0</v>
      </c>
      <c r="G17" s="667">
        <f t="shared" si="4"/>
        <v>428865</v>
      </c>
      <c r="H17" s="666">
        <v>428865</v>
      </c>
      <c r="I17" s="666">
        <v>0</v>
      </c>
      <c r="J17" s="666">
        <v>0</v>
      </c>
      <c r="K17" s="667">
        <f t="shared" si="2"/>
        <v>0</v>
      </c>
      <c r="L17" s="666">
        <v>0</v>
      </c>
      <c r="M17" s="666">
        <v>0</v>
      </c>
      <c r="N17" s="667">
        <f t="shared" si="5"/>
        <v>0</v>
      </c>
      <c r="O17" s="669">
        <v>0</v>
      </c>
      <c r="P17" s="669">
        <v>0</v>
      </c>
    </row>
    <row r="18" spans="1:16" ht="15.75">
      <c r="A18" s="432">
        <v>4</v>
      </c>
      <c r="B18" s="591" t="s">
        <v>333</v>
      </c>
      <c r="C18" s="660">
        <f t="shared" si="3"/>
        <v>0</v>
      </c>
      <c r="D18" s="666">
        <v>0</v>
      </c>
      <c r="E18" s="666">
        <v>0</v>
      </c>
      <c r="F18" s="666">
        <v>0</v>
      </c>
      <c r="G18" s="667">
        <f t="shared" si="4"/>
        <v>0</v>
      </c>
      <c r="H18" s="666">
        <v>0</v>
      </c>
      <c r="I18" s="666">
        <v>0</v>
      </c>
      <c r="J18" s="666">
        <v>0</v>
      </c>
      <c r="K18" s="667">
        <f t="shared" si="2"/>
        <v>0</v>
      </c>
      <c r="L18" s="666">
        <v>0</v>
      </c>
      <c r="M18" s="666">
        <v>0</v>
      </c>
      <c r="N18" s="667">
        <f t="shared" si="5"/>
        <v>0</v>
      </c>
      <c r="O18" s="669">
        <v>0</v>
      </c>
      <c r="P18" s="669">
        <v>0</v>
      </c>
    </row>
    <row r="19" spans="1:16" ht="15.75">
      <c r="A19" s="432">
        <v>5</v>
      </c>
      <c r="B19" s="591" t="s">
        <v>334</v>
      </c>
      <c r="C19" s="660">
        <f t="shared" si="3"/>
        <v>0</v>
      </c>
      <c r="D19" s="666">
        <v>0</v>
      </c>
      <c r="E19" s="666">
        <v>0</v>
      </c>
      <c r="F19" s="666">
        <v>0</v>
      </c>
      <c r="G19" s="667">
        <f t="shared" si="4"/>
        <v>0</v>
      </c>
      <c r="H19" s="666">
        <v>0</v>
      </c>
      <c r="I19" s="666">
        <v>0</v>
      </c>
      <c r="J19" s="666">
        <v>0</v>
      </c>
      <c r="K19" s="667">
        <f t="shared" si="2"/>
        <v>0</v>
      </c>
      <c r="L19" s="666">
        <v>0</v>
      </c>
      <c r="M19" s="666">
        <v>0</v>
      </c>
      <c r="N19" s="667">
        <f t="shared" si="5"/>
        <v>0</v>
      </c>
      <c r="O19" s="669">
        <v>0</v>
      </c>
      <c r="P19" s="669">
        <v>0</v>
      </c>
    </row>
    <row r="20" spans="1:16" ht="15.75">
      <c r="A20" s="432">
        <v>6</v>
      </c>
      <c r="B20" s="591" t="s">
        <v>335</v>
      </c>
      <c r="C20" s="660">
        <f t="shared" si="3"/>
        <v>0</v>
      </c>
      <c r="D20" s="666">
        <v>0</v>
      </c>
      <c r="E20" s="666">
        <v>0</v>
      </c>
      <c r="F20" s="666">
        <v>0</v>
      </c>
      <c r="G20" s="667">
        <f t="shared" si="4"/>
        <v>0</v>
      </c>
      <c r="H20" s="666">
        <v>0</v>
      </c>
      <c r="I20" s="666">
        <v>0</v>
      </c>
      <c r="J20" s="666">
        <v>0</v>
      </c>
      <c r="K20" s="667">
        <f t="shared" si="2"/>
        <v>0</v>
      </c>
      <c r="L20" s="666">
        <v>0</v>
      </c>
      <c r="M20" s="666">
        <v>0</v>
      </c>
      <c r="N20" s="667">
        <f t="shared" si="5"/>
        <v>0</v>
      </c>
      <c r="O20" s="669">
        <v>0</v>
      </c>
      <c r="P20" s="669">
        <v>0</v>
      </c>
    </row>
    <row r="21" spans="1:16" ht="15.75">
      <c r="A21" s="432">
        <v>7</v>
      </c>
      <c r="B21" s="591" t="s">
        <v>336</v>
      </c>
      <c r="C21" s="660">
        <f t="shared" si="3"/>
        <v>0</v>
      </c>
      <c r="D21" s="666">
        <v>0</v>
      </c>
      <c r="E21" s="666">
        <v>0</v>
      </c>
      <c r="F21" s="666">
        <v>0</v>
      </c>
      <c r="G21" s="667">
        <f t="shared" si="4"/>
        <v>0</v>
      </c>
      <c r="H21" s="666">
        <v>0</v>
      </c>
      <c r="I21" s="666">
        <v>0</v>
      </c>
      <c r="J21" s="666">
        <v>0</v>
      </c>
      <c r="K21" s="667">
        <f t="shared" si="2"/>
        <v>0</v>
      </c>
      <c r="L21" s="666">
        <v>0</v>
      </c>
      <c r="M21" s="666">
        <v>0</v>
      </c>
      <c r="N21" s="667">
        <f t="shared" si="5"/>
        <v>0</v>
      </c>
      <c r="O21" s="669">
        <v>0</v>
      </c>
      <c r="P21" s="669">
        <v>0</v>
      </c>
    </row>
    <row r="22" spans="1:16" ht="15.75">
      <c r="A22" s="432">
        <v>8</v>
      </c>
      <c r="B22" s="591" t="s">
        <v>337</v>
      </c>
      <c r="C22" s="660">
        <f t="shared" si="3"/>
        <v>0</v>
      </c>
      <c r="D22" s="666">
        <v>0</v>
      </c>
      <c r="E22" s="666">
        <v>0</v>
      </c>
      <c r="F22" s="666">
        <v>0</v>
      </c>
      <c r="G22" s="667">
        <f t="shared" si="4"/>
        <v>0</v>
      </c>
      <c r="H22" s="666">
        <v>0</v>
      </c>
      <c r="I22" s="666">
        <v>0</v>
      </c>
      <c r="J22" s="666">
        <v>0</v>
      </c>
      <c r="K22" s="667">
        <f t="shared" si="2"/>
        <v>0</v>
      </c>
      <c r="L22" s="666">
        <v>0</v>
      </c>
      <c r="M22" s="666">
        <v>0</v>
      </c>
      <c r="N22" s="667">
        <f t="shared" si="5"/>
        <v>0</v>
      </c>
      <c r="O22" s="669">
        <v>0</v>
      </c>
      <c r="P22" s="669">
        <v>0</v>
      </c>
    </row>
    <row r="23" spans="1:16" ht="15.75">
      <c r="A23" s="432">
        <v>9</v>
      </c>
      <c r="B23" s="591" t="s">
        <v>338</v>
      </c>
      <c r="C23" s="660">
        <f t="shared" si="3"/>
        <v>0</v>
      </c>
      <c r="D23" s="666">
        <v>0</v>
      </c>
      <c r="E23" s="666">
        <v>0</v>
      </c>
      <c r="F23" s="666">
        <v>0</v>
      </c>
      <c r="G23" s="667">
        <f t="shared" si="4"/>
        <v>0</v>
      </c>
      <c r="H23" s="666">
        <v>0</v>
      </c>
      <c r="I23" s="666">
        <v>0</v>
      </c>
      <c r="J23" s="666">
        <v>0</v>
      </c>
      <c r="K23" s="667">
        <f t="shared" si="2"/>
        <v>0</v>
      </c>
      <c r="L23" s="666">
        <v>0</v>
      </c>
      <c r="M23" s="666">
        <v>0</v>
      </c>
      <c r="N23" s="667">
        <f t="shared" si="5"/>
        <v>0</v>
      </c>
      <c r="O23" s="669">
        <v>0</v>
      </c>
      <c r="P23" s="669">
        <v>0</v>
      </c>
    </row>
    <row r="24" spans="1:16" ht="16.5" thickBot="1">
      <c r="A24" s="433">
        <v>10</v>
      </c>
      <c r="B24" s="592" t="s">
        <v>339</v>
      </c>
      <c r="C24" s="664">
        <f t="shared" si="3"/>
        <v>0</v>
      </c>
      <c r="D24" s="670">
        <v>0</v>
      </c>
      <c r="E24" s="670">
        <v>0</v>
      </c>
      <c r="F24" s="670">
        <v>0</v>
      </c>
      <c r="G24" s="671">
        <f t="shared" si="4"/>
        <v>0</v>
      </c>
      <c r="H24" s="670">
        <v>0</v>
      </c>
      <c r="I24" s="670">
        <v>0</v>
      </c>
      <c r="J24" s="670">
        <v>0</v>
      </c>
      <c r="K24" s="671">
        <f t="shared" si="2"/>
        <v>0</v>
      </c>
      <c r="L24" s="670">
        <v>0</v>
      </c>
      <c r="M24" s="670">
        <v>0</v>
      </c>
      <c r="N24" s="667">
        <f t="shared" si="5"/>
        <v>0</v>
      </c>
      <c r="O24" s="672">
        <v>0</v>
      </c>
      <c r="P24" s="672">
        <v>0</v>
      </c>
    </row>
    <row r="25" spans="1:16" ht="17.25" customHeight="1" thickTop="1">
      <c r="A25" s="1136" t="str">
        <f>'Thông tin'!B7</f>
        <v>Bình Thuận, ngày 06 tháng 4 năm 2016</v>
      </c>
      <c r="B25" s="1136"/>
      <c r="C25" s="1136"/>
      <c r="D25" s="1136"/>
      <c r="E25" s="673"/>
      <c r="F25" s="427"/>
      <c r="G25" s="427"/>
      <c r="H25" s="427"/>
      <c r="I25" s="427"/>
      <c r="J25" s="427"/>
      <c r="K25" s="1130" t="str">
        <f>'Thông tin'!B7</f>
        <v>Bình Thuận, ngày 06 tháng 4 năm 2016</v>
      </c>
      <c r="L25" s="1130"/>
      <c r="M25" s="1130"/>
      <c r="N25" s="1130"/>
      <c r="O25" s="1130"/>
      <c r="P25" s="1130"/>
    </row>
    <row r="26" spans="1:16" ht="15.75" customHeight="1">
      <c r="A26" s="1137" t="s">
        <v>4</v>
      </c>
      <c r="B26" s="1137"/>
      <c r="C26" s="1137"/>
      <c r="D26" s="1137"/>
      <c r="E26" s="674"/>
      <c r="F26" s="427"/>
      <c r="G26" s="427"/>
      <c r="H26" s="427"/>
      <c r="I26" s="427"/>
      <c r="J26" s="427"/>
      <c r="K26" s="1131" t="s">
        <v>355</v>
      </c>
      <c r="L26" s="1131"/>
      <c r="M26" s="1131"/>
      <c r="N26" s="1131"/>
      <c r="O26" s="1131"/>
      <c r="P26" s="1131"/>
    </row>
    <row r="27" spans="1:16" ht="16.5">
      <c r="A27" s="403"/>
      <c r="B27" s="674"/>
      <c r="C27" s="674"/>
      <c r="D27" s="674"/>
      <c r="E27" s="674"/>
      <c r="F27" s="427"/>
      <c r="G27" s="427"/>
      <c r="H27" s="427"/>
      <c r="I27" s="427"/>
      <c r="J27" s="427"/>
      <c r="K27" s="1131" t="s">
        <v>354</v>
      </c>
      <c r="L27" s="1131"/>
      <c r="M27" s="1131"/>
      <c r="N27" s="1131"/>
      <c r="O27" s="1131"/>
      <c r="P27" s="1131"/>
    </row>
    <row r="28" spans="1:16" ht="15.75">
      <c r="A28" s="403"/>
      <c r="B28" s="403"/>
      <c r="C28" s="403"/>
      <c r="D28" s="403"/>
      <c r="E28" s="403"/>
      <c r="F28" s="403"/>
      <c r="G28" s="403"/>
      <c r="H28" s="403"/>
      <c r="I28" s="403"/>
      <c r="J28" s="403"/>
      <c r="K28" s="403"/>
      <c r="L28" s="403"/>
      <c r="M28" s="403"/>
      <c r="N28" s="403"/>
      <c r="O28" s="403"/>
      <c r="P28" s="403"/>
    </row>
    <row r="29" spans="1:16" ht="15.75">
      <c r="A29" s="428"/>
      <c r="B29" s="403"/>
      <c r="C29" s="403"/>
      <c r="D29" s="403"/>
      <c r="E29" s="403"/>
      <c r="F29" s="403"/>
      <c r="G29" s="403"/>
      <c r="H29" s="403"/>
      <c r="I29" s="403"/>
      <c r="J29" s="403"/>
      <c r="K29" s="403"/>
      <c r="L29" s="403"/>
      <c r="M29" s="403"/>
      <c r="N29" s="403"/>
      <c r="O29" s="403"/>
      <c r="P29" s="403"/>
    </row>
    <row r="30" spans="1:16" ht="15.75">
      <c r="A30" s="429"/>
      <c r="B30" s="1138"/>
      <c r="C30" s="1138"/>
      <c r="D30" s="1138"/>
      <c r="E30" s="1138"/>
      <c r="F30" s="1138"/>
      <c r="G30" s="403"/>
      <c r="H30" s="403"/>
      <c r="I30" s="403"/>
      <c r="J30" s="403"/>
      <c r="K30" s="403"/>
      <c r="L30" s="403"/>
      <c r="M30" s="403"/>
      <c r="N30" s="403"/>
      <c r="O30" s="403"/>
      <c r="P30" s="403"/>
    </row>
    <row r="31" spans="1:16" ht="15.75">
      <c r="A31" s="403"/>
      <c r="B31" s="430"/>
      <c r="C31" s="430"/>
      <c r="D31" s="430"/>
      <c r="E31" s="430"/>
      <c r="F31" s="403"/>
      <c r="G31" s="403"/>
      <c r="H31" s="403"/>
      <c r="I31" s="403"/>
      <c r="J31" s="403"/>
      <c r="K31" s="403"/>
      <c r="L31" s="403"/>
      <c r="M31" s="403"/>
      <c r="N31" s="403"/>
      <c r="O31" s="403"/>
      <c r="P31" s="403"/>
    </row>
    <row r="32" spans="1:16" ht="16.5">
      <c r="A32" s="1135" t="s">
        <v>352</v>
      </c>
      <c r="B32" s="1135"/>
      <c r="C32" s="1135"/>
      <c r="D32" s="1135"/>
      <c r="E32" s="675"/>
      <c r="F32" s="431"/>
      <c r="G32" s="431"/>
      <c r="H32" s="431"/>
      <c r="I32" s="431"/>
      <c r="J32" s="431"/>
      <c r="K32" s="1135" t="s">
        <v>364</v>
      </c>
      <c r="L32" s="1135"/>
      <c r="M32" s="1135"/>
      <c r="N32" s="1135"/>
      <c r="O32" s="1135"/>
      <c r="P32" s="1135"/>
    </row>
  </sheetData>
  <mergeCells count="46">
    <mergeCell ref="A32:D32"/>
    <mergeCell ref="A25:D25"/>
    <mergeCell ref="A26:D26"/>
    <mergeCell ref="K32:P32"/>
    <mergeCell ref="B30:F30"/>
    <mergeCell ref="A4:C4"/>
    <mergeCell ref="A2:C3"/>
    <mergeCell ref="M3:P3"/>
    <mergeCell ref="D4:L4"/>
    <mergeCell ref="M4:P4"/>
    <mergeCell ref="A12:B12"/>
    <mergeCell ref="K25:P25"/>
    <mergeCell ref="K26:P26"/>
    <mergeCell ref="K27:P27"/>
    <mergeCell ref="M9:M10"/>
    <mergeCell ref="O9:O10"/>
    <mergeCell ref="P9:P10"/>
    <mergeCell ref="L9:L10"/>
    <mergeCell ref="A11:B11"/>
    <mergeCell ref="L8:M8"/>
    <mergeCell ref="N8:N10"/>
    <mergeCell ref="O8:P8"/>
    <mergeCell ref="D9:D10"/>
    <mergeCell ref="E9:E10"/>
    <mergeCell ref="F9:F10"/>
    <mergeCell ref="H9:H10"/>
    <mergeCell ref="I9:I10"/>
    <mergeCell ref="J9:J10"/>
    <mergeCell ref="D8:F8"/>
    <mergeCell ref="G8:G10"/>
    <mergeCell ref="H8:J8"/>
    <mergeCell ref="K8:K10"/>
    <mergeCell ref="D5:L5"/>
    <mergeCell ref="M5:P5"/>
    <mergeCell ref="A6:B10"/>
    <mergeCell ref="C6:J6"/>
    <mergeCell ref="K6:P6"/>
    <mergeCell ref="C7:F7"/>
    <mergeCell ref="G7:J7"/>
    <mergeCell ref="K7:M7"/>
    <mergeCell ref="N7:P7"/>
    <mergeCell ref="C8:C10"/>
    <mergeCell ref="A1:B1"/>
    <mergeCell ref="D1:L3"/>
    <mergeCell ref="M1:P1"/>
    <mergeCell ref="M2:P2"/>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21"/>
  </sheetPr>
  <dimension ref="A1:N31"/>
  <sheetViews>
    <sheetView workbookViewId="0" topLeftCell="A16">
      <selection activeCell="E28" sqref="E28"/>
    </sheetView>
  </sheetViews>
  <sheetFormatPr defaultColWidth="9.00390625" defaultRowHeight="15.75"/>
  <cols>
    <col min="1" max="1" width="4.125" style="0" customWidth="1"/>
    <col min="2" max="2" width="22.375" style="0" customWidth="1"/>
  </cols>
  <sheetData>
    <row r="1" spans="1:14" ht="15.75">
      <c r="A1" s="1089" t="s">
        <v>396</v>
      </c>
      <c r="B1" s="1089"/>
      <c r="C1" s="1089"/>
      <c r="D1" s="1089"/>
      <c r="E1" s="1139" t="s">
        <v>397</v>
      </c>
      <c r="F1" s="1139"/>
      <c r="G1" s="1139"/>
      <c r="H1" s="1139"/>
      <c r="I1" s="1139"/>
      <c r="J1" s="1139"/>
      <c r="K1" s="1139"/>
      <c r="L1" s="1140" t="s">
        <v>358</v>
      </c>
      <c r="M1" s="1140"/>
      <c r="N1" s="1140"/>
    </row>
    <row r="2" spans="1:14" ht="15.75">
      <c r="A2" s="1089" t="s">
        <v>247</v>
      </c>
      <c r="B2" s="1089"/>
      <c r="C2" s="1089"/>
      <c r="D2" s="1089"/>
      <c r="E2" s="1139"/>
      <c r="F2" s="1139"/>
      <c r="G2" s="1139"/>
      <c r="H2" s="1139"/>
      <c r="I2" s="1139"/>
      <c r="J2" s="1139"/>
      <c r="K2" s="1139"/>
      <c r="L2" s="1141" t="s">
        <v>347</v>
      </c>
      <c r="M2" s="1141"/>
      <c r="N2" s="1141"/>
    </row>
    <row r="3" spans="1:14" ht="16.5">
      <c r="A3" s="1089" t="s">
        <v>248</v>
      </c>
      <c r="B3" s="1089"/>
      <c r="C3" s="1089"/>
      <c r="D3" s="1089"/>
      <c r="E3" s="797" t="str">
        <f>'Thông tin'!B2</f>
        <v>6 tháng / năm 2016</v>
      </c>
      <c r="F3" s="797"/>
      <c r="G3" s="797"/>
      <c r="H3" s="797"/>
      <c r="I3" s="797"/>
      <c r="J3" s="797"/>
      <c r="K3" s="400"/>
      <c r="L3" s="1142" t="s">
        <v>359</v>
      </c>
      <c r="M3" s="1142"/>
      <c r="N3" s="1142"/>
    </row>
    <row r="4" spans="1:14" ht="15.75">
      <c r="A4" s="1089" t="s">
        <v>398</v>
      </c>
      <c r="B4" s="1089"/>
      <c r="C4" s="1089"/>
      <c r="D4" s="1089"/>
      <c r="E4" s="1143" t="s">
        <v>408</v>
      </c>
      <c r="F4" s="1143"/>
      <c r="G4" s="1143"/>
      <c r="H4" s="1143"/>
      <c r="I4" s="1143"/>
      <c r="J4" s="1143"/>
      <c r="K4" s="1143"/>
      <c r="L4" s="1141" t="s">
        <v>350</v>
      </c>
      <c r="M4" s="1141"/>
      <c r="N4" s="1141"/>
    </row>
    <row r="5" spans="1:14" ht="16.5" customHeight="1">
      <c r="A5" s="401"/>
      <c r="B5" s="402"/>
      <c r="C5" s="403"/>
      <c r="D5" s="404"/>
      <c r="E5" s="404"/>
      <c r="F5" s="404"/>
      <c r="G5" s="405"/>
      <c r="H5" s="405"/>
      <c r="I5" s="405"/>
      <c r="J5" s="406"/>
      <c r="K5" s="402"/>
      <c r="L5" s="1148" t="s">
        <v>430</v>
      </c>
      <c r="M5" s="1148"/>
      <c r="N5" s="1148"/>
    </row>
    <row r="6" spans="1:14" ht="15.75">
      <c r="A6" s="1153" t="s">
        <v>61</v>
      </c>
      <c r="B6" s="1154"/>
      <c r="C6" s="852" t="s">
        <v>399</v>
      </c>
      <c r="D6" s="852"/>
      <c r="E6" s="852"/>
      <c r="F6" s="852"/>
      <c r="G6" s="1144" t="s">
        <v>6</v>
      </c>
      <c r="H6" s="1145"/>
      <c r="I6" s="1145"/>
      <c r="J6" s="1145"/>
      <c r="K6" s="1145"/>
      <c r="L6" s="1145"/>
      <c r="M6" s="1145"/>
      <c r="N6" s="1146"/>
    </row>
    <row r="7" spans="1:14" ht="29.25" customHeight="1">
      <c r="A7" s="1155"/>
      <c r="B7" s="1156"/>
      <c r="C7" s="852"/>
      <c r="D7" s="852"/>
      <c r="E7" s="852"/>
      <c r="F7" s="852"/>
      <c r="G7" s="1144" t="s">
        <v>400</v>
      </c>
      <c r="H7" s="1145"/>
      <c r="I7" s="1145"/>
      <c r="J7" s="1146"/>
      <c r="K7" s="1144" t="s">
        <v>401</v>
      </c>
      <c r="L7" s="1145"/>
      <c r="M7" s="1145"/>
      <c r="N7" s="1146"/>
    </row>
    <row r="8" spans="1:14" ht="26.25" customHeight="1">
      <c r="A8" s="1155"/>
      <c r="B8" s="1156"/>
      <c r="C8" s="787" t="s">
        <v>402</v>
      </c>
      <c r="D8" s="836"/>
      <c r="E8" s="787" t="s">
        <v>403</v>
      </c>
      <c r="F8" s="836"/>
      <c r="G8" s="787" t="s">
        <v>404</v>
      </c>
      <c r="H8" s="1147"/>
      <c r="I8" s="787" t="s">
        <v>405</v>
      </c>
      <c r="J8" s="1147"/>
      <c r="K8" s="787" t="s">
        <v>406</v>
      </c>
      <c r="L8" s="1147"/>
      <c r="M8" s="787" t="s">
        <v>407</v>
      </c>
      <c r="N8" s="1147"/>
    </row>
    <row r="9" spans="1:14" ht="15.75">
      <c r="A9" s="1155"/>
      <c r="B9" s="1156"/>
      <c r="C9" s="398" t="s">
        <v>2</v>
      </c>
      <c r="D9" s="167" t="s">
        <v>10</v>
      </c>
      <c r="E9" s="167" t="s">
        <v>2</v>
      </c>
      <c r="F9" s="167" t="s">
        <v>10</v>
      </c>
      <c r="G9" s="407" t="s">
        <v>2</v>
      </c>
      <c r="H9" s="407" t="s">
        <v>10</v>
      </c>
      <c r="I9" s="407" t="s">
        <v>2</v>
      </c>
      <c r="J9" s="407" t="s">
        <v>10</v>
      </c>
      <c r="K9" s="407" t="s">
        <v>2</v>
      </c>
      <c r="L9" s="407" t="s">
        <v>10</v>
      </c>
      <c r="M9" s="407" t="s">
        <v>2</v>
      </c>
      <c r="N9" s="407" t="s">
        <v>10</v>
      </c>
    </row>
    <row r="10" spans="1:14" ht="15.75">
      <c r="A10" s="1149" t="s">
        <v>5</v>
      </c>
      <c r="B10" s="1149"/>
      <c r="C10" s="408">
        <v>1</v>
      </c>
      <c r="D10" s="408">
        <v>2</v>
      </c>
      <c r="E10" s="408">
        <v>3</v>
      </c>
      <c r="F10" s="408">
        <v>4</v>
      </c>
      <c r="G10" s="408">
        <v>5</v>
      </c>
      <c r="H10" s="408">
        <v>6</v>
      </c>
      <c r="I10" s="408">
        <v>7</v>
      </c>
      <c r="J10" s="408">
        <v>8</v>
      </c>
      <c r="K10" s="408">
        <v>9</v>
      </c>
      <c r="L10" s="408">
        <v>10</v>
      </c>
      <c r="M10" s="408">
        <v>11</v>
      </c>
      <c r="N10" s="408">
        <v>12</v>
      </c>
    </row>
    <row r="11" spans="1:14" ht="18" customHeight="1">
      <c r="A11" s="1150" t="s">
        <v>27</v>
      </c>
      <c r="B11" s="1151"/>
      <c r="C11" s="409">
        <f>C12+C13</f>
        <v>44</v>
      </c>
      <c r="D11" s="409">
        <f aca="true" t="shared" si="0" ref="D11:N11">D12+D13</f>
        <v>102651</v>
      </c>
      <c r="E11" s="409">
        <f t="shared" si="0"/>
        <v>42</v>
      </c>
      <c r="F11" s="409">
        <f t="shared" si="0"/>
        <v>93861</v>
      </c>
      <c r="G11" s="409">
        <f t="shared" si="0"/>
        <v>42</v>
      </c>
      <c r="H11" s="409">
        <f t="shared" si="0"/>
        <v>93861</v>
      </c>
      <c r="I11" s="409">
        <f t="shared" si="0"/>
        <v>40</v>
      </c>
      <c r="J11" s="409">
        <f t="shared" si="0"/>
        <v>85071</v>
      </c>
      <c r="K11" s="409">
        <f t="shared" si="0"/>
        <v>2</v>
      </c>
      <c r="L11" s="409">
        <f t="shared" si="0"/>
        <v>8790</v>
      </c>
      <c r="M11" s="409">
        <f t="shared" si="0"/>
        <v>2</v>
      </c>
      <c r="N11" s="409">
        <f t="shared" si="0"/>
        <v>8790</v>
      </c>
    </row>
    <row r="12" spans="1:14" ht="19.5" customHeight="1">
      <c r="A12" s="410" t="s">
        <v>0</v>
      </c>
      <c r="B12" s="676" t="s">
        <v>329</v>
      </c>
      <c r="C12" s="677">
        <f>G12+K12</f>
        <v>0</v>
      </c>
      <c r="D12" s="678">
        <f>H12+L12</f>
        <v>0</v>
      </c>
      <c r="E12" s="677">
        <f>I12+M12</f>
        <v>0</v>
      </c>
      <c r="F12" s="679">
        <f>J12+N12</f>
        <v>0</v>
      </c>
      <c r="G12" s="680">
        <v>0</v>
      </c>
      <c r="H12" s="680">
        <v>0</v>
      </c>
      <c r="I12" s="680">
        <v>0</v>
      </c>
      <c r="J12" s="680">
        <v>0</v>
      </c>
      <c r="K12" s="680">
        <v>0</v>
      </c>
      <c r="L12" s="680">
        <v>0</v>
      </c>
      <c r="M12" s="680">
        <v>0</v>
      </c>
      <c r="N12" s="680">
        <v>0</v>
      </c>
    </row>
    <row r="13" spans="1:14" ht="18.75" customHeight="1">
      <c r="A13" s="688" t="s">
        <v>1</v>
      </c>
      <c r="B13" s="689" t="s">
        <v>14</v>
      </c>
      <c r="C13" s="677">
        <f>C14+C15+C16+C17+C18+C19+C20+C21+C22+C23</f>
        <v>44</v>
      </c>
      <c r="D13" s="677">
        <f aca="true" t="shared" si="1" ref="D13:N13">D14+D15+D16+D17+D18+D19+D20+D21+D22+D23</f>
        <v>102651</v>
      </c>
      <c r="E13" s="677">
        <f t="shared" si="1"/>
        <v>42</v>
      </c>
      <c r="F13" s="677">
        <f t="shared" si="1"/>
        <v>93861</v>
      </c>
      <c r="G13" s="677">
        <f t="shared" si="1"/>
        <v>42</v>
      </c>
      <c r="H13" s="677">
        <f t="shared" si="1"/>
        <v>93861</v>
      </c>
      <c r="I13" s="677">
        <f t="shared" si="1"/>
        <v>40</v>
      </c>
      <c r="J13" s="677">
        <f t="shared" si="1"/>
        <v>85071</v>
      </c>
      <c r="K13" s="677">
        <f t="shared" si="1"/>
        <v>2</v>
      </c>
      <c r="L13" s="677">
        <f t="shared" si="1"/>
        <v>8790</v>
      </c>
      <c r="M13" s="677">
        <f t="shared" si="1"/>
        <v>2</v>
      </c>
      <c r="N13" s="677">
        <f t="shared" si="1"/>
        <v>8790</v>
      </c>
    </row>
    <row r="14" spans="1:14" ht="18" customHeight="1">
      <c r="A14" s="411" t="s">
        <v>37</v>
      </c>
      <c r="B14" s="591" t="s">
        <v>330</v>
      </c>
      <c r="C14" s="677">
        <f>G14+K14</f>
        <v>0</v>
      </c>
      <c r="D14" s="678">
        <f>H14+L14</f>
        <v>0</v>
      </c>
      <c r="E14" s="677">
        <f>I14+M14</f>
        <v>0</v>
      </c>
      <c r="F14" s="679">
        <f>J14+N14</f>
        <v>0</v>
      </c>
      <c r="G14" s="681">
        <v>0</v>
      </c>
      <c r="H14" s="682">
        <v>0</v>
      </c>
      <c r="I14" s="681">
        <v>0</v>
      </c>
      <c r="J14" s="682">
        <v>0</v>
      </c>
      <c r="K14" s="680">
        <v>0</v>
      </c>
      <c r="L14" s="680">
        <v>0</v>
      </c>
      <c r="M14" s="680">
        <v>0</v>
      </c>
      <c r="N14" s="680">
        <v>0</v>
      </c>
    </row>
    <row r="15" spans="1:14" ht="17.25" customHeight="1">
      <c r="A15" s="411" t="s">
        <v>38</v>
      </c>
      <c r="B15" s="591" t="s">
        <v>331</v>
      </c>
      <c r="C15" s="677">
        <f aca="true" t="shared" si="2" ref="C15:F23">G15+K15</f>
        <v>0</v>
      </c>
      <c r="D15" s="678">
        <f t="shared" si="2"/>
        <v>0</v>
      </c>
      <c r="E15" s="677">
        <f t="shared" si="2"/>
        <v>0</v>
      </c>
      <c r="F15" s="679">
        <f t="shared" si="2"/>
        <v>0</v>
      </c>
      <c r="G15" s="680">
        <v>0</v>
      </c>
      <c r="H15" s="680">
        <v>0</v>
      </c>
      <c r="I15" s="680">
        <v>0</v>
      </c>
      <c r="J15" s="680">
        <v>0</v>
      </c>
      <c r="K15" s="680">
        <v>0</v>
      </c>
      <c r="L15" s="680">
        <v>0</v>
      </c>
      <c r="M15" s="680">
        <v>0</v>
      </c>
      <c r="N15" s="680">
        <v>0</v>
      </c>
    </row>
    <row r="16" spans="1:14" ht="18" customHeight="1">
      <c r="A16" s="411" t="s">
        <v>43</v>
      </c>
      <c r="B16" s="591" t="s">
        <v>332</v>
      </c>
      <c r="C16" s="677">
        <f t="shared" si="2"/>
        <v>0</v>
      </c>
      <c r="D16" s="678">
        <f t="shared" si="2"/>
        <v>0</v>
      </c>
      <c r="E16" s="677">
        <f t="shared" si="2"/>
        <v>0</v>
      </c>
      <c r="F16" s="679">
        <f t="shared" si="2"/>
        <v>0</v>
      </c>
      <c r="G16" s="683">
        <v>0</v>
      </c>
      <c r="H16" s="683">
        <v>0</v>
      </c>
      <c r="I16" s="683">
        <v>0</v>
      </c>
      <c r="J16" s="683">
        <v>0</v>
      </c>
      <c r="K16" s="683">
        <v>0</v>
      </c>
      <c r="L16" s="683">
        <v>0</v>
      </c>
      <c r="M16" s="683">
        <v>0</v>
      </c>
      <c r="N16" s="683">
        <v>0</v>
      </c>
    </row>
    <row r="17" spans="1:14" ht="18" customHeight="1">
      <c r="A17" s="411" t="s">
        <v>62</v>
      </c>
      <c r="B17" s="591" t="s">
        <v>333</v>
      </c>
      <c r="C17" s="677">
        <f t="shared" si="2"/>
        <v>3</v>
      </c>
      <c r="D17" s="678">
        <f t="shared" si="2"/>
        <v>2157</v>
      </c>
      <c r="E17" s="677">
        <f t="shared" si="2"/>
        <v>3</v>
      </c>
      <c r="F17" s="679">
        <f t="shared" si="2"/>
        <v>2157</v>
      </c>
      <c r="G17" s="680">
        <v>3</v>
      </c>
      <c r="H17" s="680">
        <v>2157</v>
      </c>
      <c r="I17" s="680">
        <v>3</v>
      </c>
      <c r="J17" s="680">
        <v>2157</v>
      </c>
      <c r="K17" s="680">
        <v>0</v>
      </c>
      <c r="L17" s="680">
        <v>0</v>
      </c>
      <c r="M17" s="680">
        <v>0</v>
      </c>
      <c r="N17" s="680">
        <v>0</v>
      </c>
    </row>
    <row r="18" spans="1:14" ht="18" customHeight="1">
      <c r="A18" s="411" t="s">
        <v>63</v>
      </c>
      <c r="B18" s="591" t="s">
        <v>334</v>
      </c>
      <c r="C18" s="677">
        <f t="shared" si="2"/>
        <v>41</v>
      </c>
      <c r="D18" s="678">
        <f t="shared" si="2"/>
        <v>100494</v>
      </c>
      <c r="E18" s="677">
        <f t="shared" si="2"/>
        <v>39</v>
      </c>
      <c r="F18" s="679">
        <f t="shared" si="2"/>
        <v>91704</v>
      </c>
      <c r="G18" s="680">
        <v>39</v>
      </c>
      <c r="H18" s="680">
        <v>91704</v>
      </c>
      <c r="I18" s="680">
        <v>37</v>
      </c>
      <c r="J18" s="680">
        <v>82914</v>
      </c>
      <c r="K18" s="680">
        <v>2</v>
      </c>
      <c r="L18" s="680">
        <v>8790</v>
      </c>
      <c r="M18" s="680">
        <v>2</v>
      </c>
      <c r="N18" s="680">
        <v>8790</v>
      </c>
    </row>
    <row r="19" spans="1:14" ht="18" customHeight="1">
      <c r="A19" s="411" t="s">
        <v>64</v>
      </c>
      <c r="B19" s="591" t="s">
        <v>335</v>
      </c>
      <c r="C19" s="677">
        <f t="shared" si="2"/>
        <v>0</v>
      </c>
      <c r="D19" s="678">
        <f t="shared" si="2"/>
        <v>0</v>
      </c>
      <c r="E19" s="677">
        <f t="shared" si="2"/>
        <v>0</v>
      </c>
      <c r="F19" s="679">
        <f t="shared" si="2"/>
        <v>0</v>
      </c>
      <c r="G19" s="680">
        <v>0</v>
      </c>
      <c r="H19" s="680">
        <v>0</v>
      </c>
      <c r="I19" s="680">
        <v>0</v>
      </c>
      <c r="J19" s="680">
        <v>0</v>
      </c>
      <c r="K19" s="680">
        <v>0</v>
      </c>
      <c r="L19" s="680">
        <v>0</v>
      </c>
      <c r="M19" s="680">
        <v>0</v>
      </c>
      <c r="N19" s="680">
        <v>0</v>
      </c>
    </row>
    <row r="20" spans="1:14" ht="18" customHeight="1">
      <c r="A20" s="411" t="s">
        <v>65</v>
      </c>
      <c r="B20" s="591" t="s">
        <v>336</v>
      </c>
      <c r="C20" s="677">
        <f t="shared" si="2"/>
        <v>0</v>
      </c>
      <c r="D20" s="678">
        <f t="shared" si="2"/>
        <v>0</v>
      </c>
      <c r="E20" s="677">
        <f t="shared" si="2"/>
        <v>0</v>
      </c>
      <c r="F20" s="679">
        <f t="shared" si="2"/>
        <v>0</v>
      </c>
      <c r="G20" s="680">
        <v>0</v>
      </c>
      <c r="H20" s="680">
        <v>0</v>
      </c>
      <c r="I20" s="680">
        <v>0</v>
      </c>
      <c r="J20" s="680">
        <v>0</v>
      </c>
      <c r="K20" s="680">
        <v>0</v>
      </c>
      <c r="L20" s="680">
        <v>0</v>
      </c>
      <c r="M20" s="680">
        <v>0</v>
      </c>
      <c r="N20" s="680">
        <v>0</v>
      </c>
    </row>
    <row r="21" spans="1:14" ht="17.25" customHeight="1">
      <c r="A21" s="411" t="s">
        <v>66</v>
      </c>
      <c r="B21" s="591" t="s">
        <v>337</v>
      </c>
      <c r="C21" s="677">
        <f t="shared" si="2"/>
        <v>0</v>
      </c>
      <c r="D21" s="678">
        <f t="shared" si="2"/>
        <v>0</v>
      </c>
      <c r="E21" s="677">
        <f t="shared" si="2"/>
        <v>0</v>
      </c>
      <c r="F21" s="679">
        <f t="shared" si="2"/>
        <v>0</v>
      </c>
      <c r="G21" s="680">
        <v>0</v>
      </c>
      <c r="H21" s="680">
        <v>0</v>
      </c>
      <c r="I21" s="680">
        <v>0</v>
      </c>
      <c r="J21" s="680">
        <v>0</v>
      </c>
      <c r="K21" s="680">
        <v>0</v>
      </c>
      <c r="L21" s="680">
        <v>0</v>
      </c>
      <c r="M21" s="680">
        <v>0</v>
      </c>
      <c r="N21" s="680">
        <v>0</v>
      </c>
    </row>
    <row r="22" spans="1:14" ht="18.75" customHeight="1">
      <c r="A22" s="411" t="s">
        <v>67</v>
      </c>
      <c r="B22" s="591" t="s">
        <v>338</v>
      </c>
      <c r="C22" s="677">
        <f t="shared" si="2"/>
        <v>0</v>
      </c>
      <c r="D22" s="678">
        <f t="shared" si="2"/>
        <v>0</v>
      </c>
      <c r="E22" s="677">
        <f t="shared" si="2"/>
        <v>0</v>
      </c>
      <c r="F22" s="679">
        <f t="shared" si="2"/>
        <v>0</v>
      </c>
      <c r="G22" s="680">
        <v>0</v>
      </c>
      <c r="H22" s="680">
        <v>0</v>
      </c>
      <c r="I22" s="680">
        <v>0</v>
      </c>
      <c r="J22" s="680">
        <v>0</v>
      </c>
      <c r="K22" s="680">
        <v>0</v>
      </c>
      <c r="L22" s="680">
        <v>0</v>
      </c>
      <c r="M22" s="680">
        <v>0</v>
      </c>
      <c r="N22" s="680">
        <v>0</v>
      </c>
    </row>
    <row r="23" spans="1:14" ht="19.5" customHeight="1" thickBot="1">
      <c r="A23" s="412" t="s">
        <v>85</v>
      </c>
      <c r="B23" s="592" t="s">
        <v>339</v>
      </c>
      <c r="C23" s="684">
        <f t="shared" si="2"/>
        <v>0</v>
      </c>
      <c r="D23" s="685">
        <f t="shared" si="2"/>
        <v>0</v>
      </c>
      <c r="E23" s="684">
        <f t="shared" si="2"/>
        <v>0</v>
      </c>
      <c r="F23" s="686">
        <f t="shared" si="2"/>
        <v>0</v>
      </c>
      <c r="G23" s="687">
        <v>0</v>
      </c>
      <c r="H23" s="687">
        <v>0</v>
      </c>
      <c r="I23" s="687">
        <v>0</v>
      </c>
      <c r="J23" s="687">
        <v>0</v>
      </c>
      <c r="K23" s="687">
        <v>0</v>
      </c>
      <c r="L23" s="687">
        <v>0</v>
      </c>
      <c r="M23" s="687">
        <v>0</v>
      </c>
      <c r="N23" s="687">
        <v>0</v>
      </c>
    </row>
    <row r="24" spans="1:14" ht="16.5" thickTop="1">
      <c r="A24" s="402"/>
      <c r="B24" s="402"/>
      <c r="C24" s="403"/>
      <c r="D24" s="403"/>
      <c r="E24" s="403"/>
      <c r="F24" s="403"/>
      <c r="G24" s="413"/>
      <c r="H24" s="413"/>
      <c r="I24" s="413"/>
      <c r="J24" s="413"/>
      <c r="K24" s="413"/>
      <c r="L24" s="413"/>
      <c r="M24" s="413"/>
      <c r="N24" s="413"/>
    </row>
    <row r="25" spans="1:14" ht="16.5" customHeight="1">
      <c r="A25" s="1152" t="str">
        <f>'Thông tin'!B7</f>
        <v>Bình Thuận, ngày 06 tháng 4 năm 2016</v>
      </c>
      <c r="B25" s="1152"/>
      <c r="C25" s="1152"/>
      <c r="D25" s="1152"/>
      <c r="E25" s="692"/>
      <c r="F25" s="414"/>
      <c r="G25" s="415"/>
      <c r="H25" s="415"/>
      <c r="I25" s="415"/>
      <c r="J25" s="1152" t="str">
        <f>'Thông tin'!B7</f>
        <v>Bình Thuận, ngày 06 tháng 4 năm 2016</v>
      </c>
      <c r="K25" s="1152"/>
      <c r="L25" s="1152"/>
      <c r="M25" s="1152"/>
      <c r="N25" s="1152"/>
    </row>
    <row r="26" spans="1:14" ht="16.5">
      <c r="A26" s="1103" t="s">
        <v>31</v>
      </c>
      <c r="B26" s="1103"/>
      <c r="C26" s="1103"/>
      <c r="D26" s="1103"/>
      <c r="E26" s="417"/>
      <c r="F26" s="417"/>
      <c r="G26" s="418"/>
      <c r="H26" s="418"/>
      <c r="I26" s="418"/>
      <c r="J26" s="1103" t="s">
        <v>355</v>
      </c>
      <c r="K26" s="1103"/>
      <c r="L26" s="1103"/>
      <c r="M26" s="1103"/>
      <c r="N26" s="1103"/>
    </row>
    <row r="27" spans="1:14" ht="19.5">
      <c r="A27" s="416"/>
      <c r="B27" s="1105"/>
      <c r="C27" s="1105"/>
      <c r="D27" s="1105"/>
      <c r="E27" s="417"/>
      <c r="F27" s="417"/>
      <c r="G27" s="418"/>
      <c r="H27" s="418"/>
      <c r="I27" s="418"/>
      <c r="J27" s="797" t="s">
        <v>354</v>
      </c>
      <c r="K27" s="797"/>
      <c r="L27" s="797"/>
      <c r="M27" s="797"/>
      <c r="N27" s="797"/>
    </row>
    <row r="28" spans="1:14" ht="19.5">
      <c r="A28" s="416"/>
      <c r="B28" s="419"/>
      <c r="C28" s="419"/>
      <c r="D28" s="419"/>
      <c r="E28" s="417"/>
      <c r="F28" s="417"/>
      <c r="G28" s="418"/>
      <c r="H28" s="418"/>
      <c r="I28" s="418"/>
      <c r="J28" s="420"/>
      <c r="K28" s="420"/>
      <c r="L28" s="420"/>
      <c r="M28" s="420"/>
      <c r="N28" s="420"/>
    </row>
    <row r="29" spans="1:14" ht="19.5">
      <c r="A29" s="416"/>
      <c r="B29" s="419"/>
      <c r="C29" s="419"/>
      <c r="D29" s="419"/>
      <c r="E29" s="417"/>
      <c r="F29" s="417"/>
      <c r="G29" s="418"/>
      <c r="H29" s="418"/>
      <c r="I29" s="418"/>
      <c r="J29" s="420"/>
      <c r="K29" s="420"/>
      <c r="L29" s="420"/>
      <c r="M29" s="420"/>
      <c r="N29" s="420"/>
    </row>
    <row r="30" spans="1:14" ht="19.5">
      <c r="A30" s="416"/>
      <c r="B30" s="419"/>
      <c r="C30" s="419"/>
      <c r="D30" s="419"/>
      <c r="E30" s="417"/>
      <c r="F30" s="417"/>
      <c r="G30" s="418"/>
      <c r="H30" s="418"/>
      <c r="I30" s="418"/>
      <c r="J30" s="420"/>
      <c r="K30" s="420"/>
      <c r="L30" s="420"/>
      <c r="M30" s="420"/>
      <c r="N30" s="420"/>
    </row>
    <row r="31" spans="1:14" ht="16.5">
      <c r="A31" s="1103" t="s">
        <v>352</v>
      </c>
      <c r="B31" s="1103"/>
      <c r="C31" s="1103"/>
      <c r="D31" s="1103"/>
      <c r="E31" s="417"/>
      <c r="F31" s="417"/>
      <c r="G31" s="418"/>
      <c r="H31" s="418"/>
      <c r="I31" s="418"/>
      <c r="J31" s="1103" t="s">
        <v>364</v>
      </c>
      <c r="K31" s="1103"/>
      <c r="L31" s="1103"/>
      <c r="M31" s="1103"/>
      <c r="N31" s="1103"/>
    </row>
  </sheetData>
  <mergeCells count="33">
    <mergeCell ref="A25:D25"/>
    <mergeCell ref="A26:D26"/>
    <mergeCell ref="A31:D31"/>
    <mergeCell ref="J31:N31"/>
    <mergeCell ref="L5:N5"/>
    <mergeCell ref="J26:N26"/>
    <mergeCell ref="B27:D27"/>
    <mergeCell ref="J27:N27"/>
    <mergeCell ref="M8:N8"/>
    <mergeCell ref="A10:B10"/>
    <mergeCell ref="A11:B11"/>
    <mergeCell ref="J25:N25"/>
    <mergeCell ref="A6:B9"/>
    <mergeCell ref="C6:F7"/>
    <mergeCell ref="G6:N6"/>
    <mergeCell ref="G7:J7"/>
    <mergeCell ref="K7:N7"/>
    <mergeCell ref="C8:D8"/>
    <mergeCell ref="E8:F8"/>
    <mergeCell ref="G8:H8"/>
    <mergeCell ref="I8:J8"/>
    <mergeCell ref="K8:L8"/>
    <mergeCell ref="A3:D3"/>
    <mergeCell ref="E3:J3"/>
    <mergeCell ref="L3:N3"/>
    <mergeCell ref="A4:D4"/>
    <mergeCell ref="E4:K4"/>
    <mergeCell ref="L4:N4"/>
    <mergeCell ref="A1:D1"/>
    <mergeCell ref="E1:K2"/>
    <mergeCell ref="L1:N1"/>
    <mergeCell ref="A2:D2"/>
    <mergeCell ref="L2:N2"/>
  </mergeCells>
  <printOptions/>
  <pageMargins left="0" right="0" top="0" bottom="0" header="0.5" footer="0.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indexed="14"/>
  </sheetPr>
  <dimension ref="A1:AD93"/>
  <sheetViews>
    <sheetView zoomScalePageLayoutView="0" workbookViewId="0" topLeftCell="A1">
      <selection activeCell="N17" sqref="N17"/>
    </sheetView>
  </sheetViews>
  <sheetFormatPr defaultColWidth="9.00390625" defaultRowHeight="15.75"/>
  <cols>
    <col min="1" max="1" width="3.00390625" style="96" customWidth="1"/>
    <col min="2" max="2" width="13.375" style="96" customWidth="1"/>
    <col min="3" max="3" width="8.25390625" style="96" customWidth="1"/>
    <col min="4" max="4" width="7.75390625" style="96" customWidth="1"/>
    <col min="5" max="5" width="7.50390625" style="96" customWidth="1"/>
    <col min="6" max="6" width="6.25390625" style="96" customWidth="1"/>
    <col min="7" max="7" width="6.375" style="96" customWidth="1"/>
    <col min="8" max="9" width="8.375" style="96" customWidth="1"/>
    <col min="10" max="10" width="6.875" style="96" customWidth="1"/>
    <col min="11" max="11" width="6.00390625" style="96" customWidth="1"/>
    <col min="12" max="12" width="5.875" style="96" customWidth="1"/>
    <col min="13" max="13" width="7.375" style="96" customWidth="1"/>
    <col min="14" max="14" width="6.625" style="96" customWidth="1"/>
    <col min="15" max="15" width="7.25390625" style="96" customWidth="1"/>
    <col min="16" max="16" width="5.00390625" style="96" customWidth="1"/>
    <col min="17" max="17" width="7.50390625" style="96" customWidth="1"/>
    <col min="18" max="18" width="6.625" style="96" customWidth="1"/>
    <col min="19" max="19" width="8.375" style="96" customWidth="1"/>
    <col min="20" max="20" width="5.125" style="96" customWidth="1"/>
    <col min="21" max="21" width="8.875" style="96" customWidth="1"/>
    <col min="22" max="22" width="9.50390625" style="96" bestFit="1" customWidth="1"/>
    <col min="23" max="16384" width="9.00390625" style="96" customWidth="1"/>
  </cols>
  <sheetData>
    <row r="1" spans="1:21" ht="20.25" customHeight="1">
      <c r="A1" s="101" t="s">
        <v>25</v>
      </c>
      <c r="B1" s="101"/>
      <c r="C1" s="101"/>
      <c r="E1" s="1188" t="s">
        <v>196</v>
      </c>
      <c r="F1" s="1188"/>
      <c r="G1" s="1188"/>
      <c r="H1" s="1188"/>
      <c r="I1" s="1188"/>
      <c r="J1" s="1188"/>
      <c r="K1" s="1188"/>
      <c r="L1" s="1188"/>
      <c r="M1" s="1188"/>
      <c r="N1" s="1188"/>
      <c r="O1" s="1188"/>
      <c r="P1" s="576"/>
      <c r="Q1" s="1196" t="s">
        <v>360</v>
      </c>
      <c r="R1" s="1197"/>
      <c r="S1" s="1197"/>
      <c r="T1" s="1197"/>
      <c r="U1" s="99"/>
    </row>
    <row r="2" spans="1:21" ht="17.25" customHeight="1">
      <c r="A2" s="1157" t="s">
        <v>247</v>
      </c>
      <c r="B2" s="1157"/>
      <c r="C2" s="1157"/>
      <c r="D2" s="1157"/>
      <c r="E2" s="1189" t="s">
        <v>30</v>
      </c>
      <c r="F2" s="1189"/>
      <c r="G2" s="1189"/>
      <c r="H2" s="1189"/>
      <c r="I2" s="1189"/>
      <c r="J2" s="1189"/>
      <c r="K2" s="1189"/>
      <c r="L2" s="1189"/>
      <c r="M2" s="1189"/>
      <c r="N2" s="1189"/>
      <c r="O2" s="1189"/>
      <c r="P2" s="573"/>
      <c r="Q2" s="850" t="str">
        <f>'Thông tin'!B3</f>
        <v>Cục THADS tỉnh Bình Thuận</v>
      </c>
      <c r="R2" s="850"/>
      <c r="S2" s="850"/>
      <c r="T2" s="850"/>
      <c r="U2" s="121"/>
    </row>
    <row r="3" spans="1:21" ht="14.25" customHeight="1">
      <c r="A3" s="1157" t="s">
        <v>248</v>
      </c>
      <c r="B3" s="1157"/>
      <c r="C3" s="1157"/>
      <c r="D3" s="1157"/>
      <c r="E3" s="1188" t="str">
        <f>'Thông tin'!B2</f>
        <v>6 tháng / năm 2016</v>
      </c>
      <c r="F3" s="1188"/>
      <c r="G3" s="1188"/>
      <c r="H3" s="1188"/>
      <c r="I3" s="1188"/>
      <c r="J3" s="1188"/>
      <c r="K3" s="1188"/>
      <c r="L3" s="1188"/>
      <c r="M3" s="1188"/>
      <c r="N3" s="1188"/>
      <c r="O3" s="1188"/>
      <c r="P3" s="576"/>
      <c r="Q3" s="1196" t="s">
        <v>359</v>
      </c>
      <c r="R3" s="1197"/>
      <c r="S3" s="1197"/>
      <c r="T3" s="1197"/>
      <c r="U3" s="115"/>
    </row>
    <row r="4" spans="1:21" ht="14.25" customHeight="1">
      <c r="A4" s="101" t="s">
        <v>186</v>
      </c>
      <c r="B4" s="101"/>
      <c r="C4" s="101"/>
      <c r="D4" s="101"/>
      <c r="E4" s="1003" t="s">
        <v>363</v>
      </c>
      <c r="F4" s="1003"/>
      <c r="G4" s="1003"/>
      <c r="H4" s="1003"/>
      <c r="I4" s="1003"/>
      <c r="J4" s="1003"/>
      <c r="K4" s="1003"/>
      <c r="L4" s="1003"/>
      <c r="M4" s="1003"/>
      <c r="N4" s="1003"/>
      <c r="O4" s="1003"/>
      <c r="P4" s="577"/>
      <c r="Q4" s="850" t="s">
        <v>350</v>
      </c>
      <c r="R4" s="850"/>
      <c r="S4" s="850"/>
      <c r="T4" s="850"/>
      <c r="U4" s="121"/>
    </row>
    <row r="5" spans="2:21" ht="15" customHeight="1">
      <c r="B5" s="160"/>
      <c r="C5" s="160"/>
      <c r="E5" s="82"/>
      <c r="F5" s="82"/>
      <c r="G5" s="82"/>
      <c r="H5" s="82"/>
      <c r="I5" s="82"/>
      <c r="J5" s="82"/>
      <c r="K5" s="82"/>
      <c r="L5" s="82"/>
      <c r="M5" s="82"/>
      <c r="N5" s="82"/>
      <c r="O5" s="82"/>
      <c r="P5" s="82"/>
      <c r="Q5" s="1174" t="s">
        <v>164</v>
      </c>
      <c r="R5" s="1174"/>
      <c r="S5" s="1174"/>
      <c r="T5" s="1174"/>
      <c r="U5" s="99"/>
    </row>
    <row r="6" spans="1:20" ht="22.5" customHeight="1">
      <c r="A6" s="1158" t="s">
        <v>61</v>
      </c>
      <c r="B6" s="1159"/>
      <c r="C6" s="1184" t="s">
        <v>187</v>
      </c>
      <c r="D6" s="1185"/>
      <c r="E6" s="1186"/>
      <c r="F6" s="1168" t="s">
        <v>103</v>
      </c>
      <c r="G6" s="1167" t="s">
        <v>188</v>
      </c>
      <c r="H6" s="1180" t="s">
        <v>106</v>
      </c>
      <c r="I6" s="1181"/>
      <c r="J6" s="1181"/>
      <c r="K6" s="1181"/>
      <c r="L6" s="1181"/>
      <c r="M6" s="1181"/>
      <c r="N6" s="1181"/>
      <c r="O6" s="1181"/>
      <c r="P6" s="1181"/>
      <c r="Q6" s="1181"/>
      <c r="R6" s="1182"/>
      <c r="S6" s="1164" t="s">
        <v>343</v>
      </c>
      <c r="T6" s="1198" t="s">
        <v>394</v>
      </c>
    </row>
    <row r="7" spans="1:30" s="122" customFormat="1" ht="16.5" customHeight="1">
      <c r="A7" s="1160"/>
      <c r="B7" s="1161"/>
      <c r="C7" s="1164" t="s">
        <v>36</v>
      </c>
      <c r="D7" s="1171" t="s">
        <v>6</v>
      </c>
      <c r="E7" s="1172"/>
      <c r="F7" s="1169"/>
      <c r="G7" s="1166"/>
      <c r="H7" s="1167" t="s">
        <v>27</v>
      </c>
      <c r="I7" s="1171" t="s">
        <v>107</v>
      </c>
      <c r="J7" s="1193"/>
      <c r="K7" s="1193"/>
      <c r="L7" s="1193"/>
      <c r="M7" s="1193"/>
      <c r="N7" s="1193"/>
      <c r="O7" s="1193"/>
      <c r="P7" s="1193"/>
      <c r="Q7" s="1194"/>
      <c r="R7" s="1172" t="s">
        <v>190</v>
      </c>
      <c r="S7" s="1166"/>
      <c r="T7" s="1199"/>
      <c r="U7" s="115"/>
      <c r="V7" s="115"/>
      <c r="W7" s="115"/>
      <c r="X7" s="115"/>
      <c r="Y7" s="115"/>
      <c r="Z7" s="115"/>
      <c r="AA7" s="115"/>
      <c r="AB7" s="115"/>
      <c r="AC7" s="115"/>
      <c r="AD7" s="115"/>
    </row>
    <row r="8" spans="1:20" ht="15.75" customHeight="1">
      <c r="A8" s="1160"/>
      <c r="B8" s="1161"/>
      <c r="C8" s="1166"/>
      <c r="D8" s="1170"/>
      <c r="E8" s="1173"/>
      <c r="F8" s="1169"/>
      <c r="G8" s="1166"/>
      <c r="H8" s="1166"/>
      <c r="I8" s="1167" t="s">
        <v>27</v>
      </c>
      <c r="J8" s="1184" t="s">
        <v>6</v>
      </c>
      <c r="K8" s="1201"/>
      <c r="L8" s="1201"/>
      <c r="M8" s="1201"/>
      <c r="N8" s="1201"/>
      <c r="O8" s="1201"/>
      <c r="P8" s="1201"/>
      <c r="Q8" s="1183"/>
      <c r="R8" s="1202"/>
      <c r="S8" s="1166"/>
      <c r="T8" s="1199"/>
    </row>
    <row r="9" spans="1:20" ht="15.75" customHeight="1">
      <c r="A9" s="1160"/>
      <c r="B9" s="1161"/>
      <c r="C9" s="1166"/>
      <c r="D9" s="1164" t="s">
        <v>191</v>
      </c>
      <c r="E9" s="1164" t="s">
        <v>192</v>
      </c>
      <c r="F9" s="1169"/>
      <c r="G9" s="1166"/>
      <c r="H9" s="1166"/>
      <c r="I9" s="1166"/>
      <c r="J9" s="1183" t="s">
        <v>193</v>
      </c>
      <c r="K9" s="1175" t="s">
        <v>194</v>
      </c>
      <c r="L9" s="1164" t="s">
        <v>171</v>
      </c>
      <c r="M9" s="1177" t="s">
        <v>111</v>
      </c>
      <c r="N9" s="1167" t="s">
        <v>195</v>
      </c>
      <c r="O9" s="1167" t="s">
        <v>115</v>
      </c>
      <c r="P9" s="1167" t="s">
        <v>344</v>
      </c>
      <c r="Q9" s="1167" t="s">
        <v>345</v>
      </c>
      <c r="R9" s="1202"/>
      <c r="S9" s="1166"/>
      <c r="T9" s="1199"/>
    </row>
    <row r="10" spans="1:20" ht="71.25" customHeight="1">
      <c r="A10" s="1162"/>
      <c r="B10" s="1163"/>
      <c r="C10" s="1165"/>
      <c r="D10" s="1165"/>
      <c r="E10" s="1165"/>
      <c r="F10" s="1170"/>
      <c r="G10" s="1165"/>
      <c r="H10" s="1165"/>
      <c r="I10" s="1165"/>
      <c r="J10" s="1183"/>
      <c r="K10" s="1175"/>
      <c r="L10" s="1176"/>
      <c r="M10" s="1177"/>
      <c r="N10" s="1165"/>
      <c r="O10" s="1165" t="s">
        <v>115</v>
      </c>
      <c r="P10" s="1165" t="s">
        <v>344</v>
      </c>
      <c r="Q10" s="1165" t="s">
        <v>345</v>
      </c>
      <c r="R10" s="1173"/>
      <c r="S10" s="1165"/>
      <c r="T10" s="1200"/>
    </row>
    <row r="11" spans="1:20" ht="15" customHeight="1">
      <c r="A11" s="1178" t="s">
        <v>5</v>
      </c>
      <c r="B11" s="1179"/>
      <c r="C11" s="200">
        <v>1</v>
      </c>
      <c r="D11" s="200">
        <v>2</v>
      </c>
      <c r="E11" s="200">
        <v>3</v>
      </c>
      <c r="F11" s="200">
        <v>4</v>
      </c>
      <c r="G11" s="200">
        <v>5</v>
      </c>
      <c r="H11" s="200">
        <v>6</v>
      </c>
      <c r="I11" s="200">
        <v>7</v>
      </c>
      <c r="J11" s="200">
        <v>8</v>
      </c>
      <c r="K11" s="200">
        <v>9</v>
      </c>
      <c r="L11" s="200">
        <v>10</v>
      </c>
      <c r="M11" s="200">
        <v>11</v>
      </c>
      <c r="N11" s="200">
        <v>12</v>
      </c>
      <c r="O11" s="200">
        <v>13</v>
      </c>
      <c r="P11" s="200">
        <v>14</v>
      </c>
      <c r="Q11" s="200">
        <v>15</v>
      </c>
      <c r="R11" s="200">
        <v>16</v>
      </c>
      <c r="S11" s="200">
        <v>17</v>
      </c>
      <c r="T11" s="200">
        <v>18</v>
      </c>
    </row>
    <row r="12" spans="1:22" ht="23.25" customHeight="1">
      <c r="A12" s="1191" t="s">
        <v>26</v>
      </c>
      <c r="B12" s="1192"/>
      <c r="C12" s="337">
        <f>C13+C26</f>
        <v>1152605020</v>
      </c>
      <c r="D12" s="337">
        <f aca="true" t="shared" si="0" ref="D12:R12">D13+D26</f>
        <v>950640851</v>
      </c>
      <c r="E12" s="337">
        <f t="shared" si="0"/>
        <v>201964169</v>
      </c>
      <c r="F12" s="337">
        <f t="shared" si="0"/>
        <v>8980961</v>
      </c>
      <c r="G12" s="337">
        <f t="shared" si="0"/>
        <v>33610464</v>
      </c>
      <c r="H12" s="337">
        <f t="shared" si="0"/>
        <v>1143624059</v>
      </c>
      <c r="I12" s="337">
        <f t="shared" si="0"/>
        <v>1102267657</v>
      </c>
      <c r="J12" s="337">
        <f t="shared" si="0"/>
        <v>57620016</v>
      </c>
      <c r="K12" s="337">
        <f t="shared" si="0"/>
        <v>8186130</v>
      </c>
      <c r="L12" s="337">
        <f t="shared" si="0"/>
        <v>8790</v>
      </c>
      <c r="M12" s="337">
        <f t="shared" si="0"/>
        <v>661779388</v>
      </c>
      <c r="N12" s="337">
        <f t="shared" si="0"/>
        <v>29842604</v>
      </c>
      <c r="O12" s="337">
        <f t="shared" si="0"/>
        <v>159496839</v>
      </c>
      <c r="P12" s="337">
        <f t="shared" si="0"/>
        <v>0</v>
      </c>
      <c r="Q12" s="337">
        <f t="shared" si="0"/>
        <v>185333890</v>
      </c>
      <c r="R12" s="337">
        <f t="shared" si="0"/>
        <v>41356402</v>
      </c>
      <c r="S12" s="337">
        <f>R12+Q12+P12+O12+N12+M12+L12</f>
        <v>1077817913</v>
      </c>
      <c r="T12" s="339">
        <f>(J12+K12+L12)/I12*100</f>
        <v>5.97086701964258</v>
      </c>
      <c r="U12" s="340">
        <f>R12+I12+F12-C12</f>
        <v>0</v>
      </c>
      <c r="V12" s="340">
        <f>R12+I12+G12+F12-C12</f>
        <v>33610464</v>
      </c>
    </row>
    <row r="13" spans="1:22" ht="21" customHeight="1">
      <c r="A13" s="201" t="s">
        <v>0</v>
      </c>
      <c r="B13" s="240" t="s">
        <v>84</v>
      </c>
      <c r="C13" s="337">
        <f>SUM(C14:C25)</f>
        <v>108143308</v>
      </c>
      <c r="D13" s="337">
        <f aca="true" t="shared" si="1" ref="D13:R13">SUM(D14:D25)</f>
        <v>88752762</v>
      </c>
      <c r="E13" s="337">
        <f t="shared" si="1"/>
        <v>19390546</v>
      </c>
      <c r="F13" s="337">
        <f t="shared" si="1"/>
        <v>131744</v>
      </c>
      <c r="G13" s="337">
        <f t="shared" si="1"/>
        <v>0</v>
      </c>
      <c r="H13" s="337">
        <f t="shared" si="1"/>
        <v>108011564</v>
      </c>
      <c r="I13" s="337">
        <f t="shared" si="1"/>
        <v>99467259</v>
      </c>
      <c r="J13" s="337">
        <f t="shared" si="1"/>
        <v>5526770</v>
      </c>
      <c r="K13" s="337">
        <f t="shared" si="1"/>
        <v>1678235</v>
      </c>
      <c r="L13" s="337">
        <f t="shared" si="1"/>
        <v>0</v>
      </c>
      <c r="M13" s="337">
        <f t="shared" si="1"/>
        <v>66169277</v>
      </c>
      <c r="N13" s="337">
        <f t="shared" si="1"/>
        <v>13106531</v>
      </c>
      <c r="O13" s="337">
        <f t="shared" si="1"/>
        <v>1059602</v>
      </c>
      <c r="P13" s="337">
        <f t="shared" si="1"/>
        <v>0</v>
      </c>
      <c r="Q13" s="337">
        <f t="shared" si="1"/>
        <v>11926844</v>
      </c>
      <c r="R13" s="337">
        <f t="shared" si="1"/>
        <v>8544305</v>
      </c>
      <c r="S13" s="341">
        <f>R13+Q13+P13+O13+N13+M13+L13</f>
        <v>100806559</v>
      </c>
      <c r="T13" s="342">
        <f>(J13+K13+L13)/I13*100</f>
        <v>7.243594598298923</v>
      </c>
      <c r="U13" s="340">
        <f aca="true" t="shared" si="2" ref="U13:U78">R13+I13+F13-C13</f>
        <v>0</v>
      </c>
      <c r="V13" s="340">
        <f aca="true" t="shared" si="3" ref="V13:V78">R13+I13+G13+F13-C13</f>
        <v>0</v>
      </c>
    </row>
    <row r="14" spans="1:22" ht="18.75" customHeight="1">
      <c r="A14" s="119" t="s">
        <v>37</v>
      </c>
      <c r="B14" s="744" t="s">
        <v>364</v>
      </c>
      <c r="C14" s="337">
        <f>D14+E14</f>
        <v>7042</v>
      </c>
      <c r="D14" s="745">
        <v>0</v>
      </c>
      <c r="E14" s="745">
        <v>7042</v>
      </c>
      <c r="F14" s="746">
        <v>0</v>
      </c>
      <c r="G14" s="746">
        <v>0</v>
      </c>
      <c r="H14" s="337">
        <f>I14+R14</f>
        <v>7042</v>
      </c>
      <c r="I14" s="337">
        <f>J14+K14+L14+M14+N14+O14+P14+Q14</f>
        <v>7042</v>
      </c>
      <c r="J14" s="745">
        <v>7042</v>
      </c>
      <c r="K14" s="745">
        <v>0</v>
      </c>
      <c r="L14" s="745">
        <v>0</v>
      </c>
      <c r="M14" s="745">
        <v>0</v>
      </c>
      <c r="N14" s="745">
        <v>0</v>
      </c>
      <c r="O14" s="745">
        <v>0</v>
      </c>
      <c r="P14" s="745">
        <v>0</v>
      </c>
      <c r="Q14" s="747">
        <v>0</v>
      </c>
      <c r="R14" s="748">
        <v>0</v>
      </c>
      <c r="S14" s="749">
        <f>L14+M14+N14+O14+P14+Q14+R14</f>
        <v>0</v>
      </c>
      <c r="T14" s="750">
        <f>(J14+K14+L14)/I14*100</f>
        <v>100</v>
      </c>
      <c r="U14" s="340">
        <f t="shared" si="2"/>
        <v>0</v>
      </c>
      <c r="V14" s="340">
        <f t="shared" si="3"/>
        <v>0</v>
      </c>
    </row>
    <row r="15" spans="1:22" ht="18.75" customHeight="1">
      <c r="A15" s="119" t="s">
        <v>585</v>
      </c>
      <c r="B15" s="744" t="s">
        <v>391</v>
      </c>
      <c r="C15" s="337">
        <f>D15+E15</f>
        <v>1811921</v>
      </c>
      <c r="D15" s="745">
        <v>0</v>
      </c>
      <c r="E15" s="745">
        <v>1811921</v>
      </c>
      <c r="F15" s="746">
        <v>0</v>
      </c>
      <c r="G15" s="746">
        <v>0</v>
      </c>
      <c r="H15" s="337">
        <f>I15+R15</f>
        <v>1811921</v>
      </c>
      <c r="I15" s="337">
        <f>J15+K15+L15+M15+N15+O15+P15+Q15</f>
        <v>1811921</v>
      </c>
      <c r="J15" s="745">
        <v>11936</v>
      </c>
      <c r="K15" s="745">
        <v>0</v>
      </c>
      <c r="L15" s="745">
        <v>0</v>
      </c>
      <c r="M15" s="745">
        <v>1799985</v>
      </c>
      <c r="N15" s="745">
        <v>0</v>
      </c>
      <c r="O15" s="745">
        <v>0</v>
      </c>
      <c r="P15" s="745">
        <v>0</v>
      </c>
      <c r="Q15" s="747">
        <v>0</v>
      </c>
      <c r="R15" s="748">
        <v>0</v>
      </c>
      <c r="S15" s="749">
        <f>L15+M15+N15+O15+P15+Q15+R15</f>
        <v>1799985</v>
      </c>
      <c r="T15" s="750">
        <f aca="true" t="shared" si="4" ref="T15:T78">(J15+K15+L15)/I15*100</f>
        <v>0.6587483670645685</v>
      </c>
      <c r="U15" s="340">
        <f t="shared" si="2"/>
        <v>0</v>
      </c>
      <c r="V15" s="340">
        <f t="shared" si="3"/>
        <v>0</v>
      </c>
    </row>
    <row r="16" spans="1:22" ht="18.75" customHeight="1">
      <c r="A16" s="119" t="s">
        <v>43</v>
      </c>
      <c r="B16" s="744" t="s">
        <v>353</v>
      </c>
      <c r="C16" s="337">
        <f>D16+E16</f>
        <v>12200</v>
      </c>
      <c r="D16" s="745">
        <v>0</v>
      </c>
      <c r="E16" s="745">
        <v>12200</v>
      </c>
      <c r="F16" s="746">
        <v>0</v>
      </c>
      <c r="G16" s="746">
        <v>0</v>
      </c>
      <c r="H16" s="337">
        <f>I16+R16</f>
        <v>12200</v>
      </c>
      <c r="I16" s="337">
        <f>J16+K16+L16+M16+N16+O16+P16+Q16</f>
        <v>12200</v>
      </c>
      <c r="J16" s="745">
        <v>200</v>
      </c>
      <c r="K16" s="745">
        <v>0</v>
      </c>
      <c r="L16" s="745">
        <v>0</v>
      </c>
      <c r="M16" s="745">
        <v>12000</v>
      </c>
      <c r="N16" s="745">
        <v>0</v>
      </c>
      <c r="O16" s="745">
        <v>0</v>
      </c>
      <c r="P16" s="745">
        <v>0</v>
      </c>
      <c r="Q16" s="747">
        <v>0</v>
      </c>
      <c r="R16" s="748">
        <v>0</v>
      </c>
      <c r="S16" s="749">
        <f>L16+M16+N16+O16+P16+Q16+R16</f>
        <v>12000</v>
      </c>
      <c r="T16" s="750">
        <f t="shared" si="4"/>
        <v>1.639344262295082</v>
      </c>
      <c r="U16" s="340">
        <f t="shared" si="2"/>
        <v>0</v>
      </c>
      <c r="V16" s="340">
        <f t="shared" si="3"/>
        <v>0</v>
      </c>
    </row>
    <row r="17" spans="1:22" ht="19.5" customHeight="1">
      <c r="A17" s="119" t="s">
        <v>62</v>
      </c>
      <c r="B17" s="744" t="s">
        <v>267</v>
      </c>
      <c r="C17" s="337">
        <f aca="true" t="shared" si="5" ref="C17:C25">D17+E17</f>
        <v>13777023</v>
      </c>
      <c r="D17" s="745">
        <v>13777023</v>
      </c>
      <c r="E17" s="745">
        <v>0</v>
      </c>
      <c r="F17" s="746">
        <v>14060</v>
      </c>
      <c r="G17" s="746">
        <v>0</v>
      </c>
      <c r="H17" s="337">
        <f aca="true" t="shared" si="6" ref="H17:H25">I17+R17</f>
        <v>13762963</v>
      </c>
      <c r="I17" s="337">
        <f aca="true" t="shared" si="7" ref="I17:I25">J17+K17+L17+M17+N17+O17+P17+Q17</f>
        <v>13617047</v>
      </c>
      <c r="J17" s="745">
        <v>574367</v>
      </c>
      <c r="K17" s="745">
        <v>911721</v>
      </c>
      <c r="L17" s="745">
        <v>0</v>
      </c>
      <c r="M17" s="745">
        <v>12130959</v>
      </c>
      <c r="N17" s="745">
        <v>0</v>
      </c>
      <c r="O17" s="745">
        <v>0</v>
      </c>
      <c r="P17" s="745">
        <v>0</v>
      </c>
      <c r="Q17" s="747">
        <v>0</v>
      </c>
      <c r="R17" s="748">
        <v>145916</v>
      </c>
      <c r="S17" s="749">
        <f aca="true" t="shared" si="8" ref="S17:S25">L17+M17+N17+O17+P17+Q17+R17</f>
        <v>12276875</v>
      </c>
      <c r="T17" s="750">
        <f t="shared" si="4"/>
        <v>10.913438133833274</v>
      </c>
      <c r="U17" s="340">
        <f t="shared" si="2"/>
        <v>0</v>
      </c>
      <c r="V17" s="340">
        <f t="shared" si="3"/>
        <v>0</v>
      </c>
    </row>
    <row r="18" spans="1:22" ht="18.75" customHeight="1">
      <c r="A18" s="119" t="s">
        <v>63</v>
      </c>
      <c r="B18" s="744" t="s">
        <v>268</v>
      </c>
      <c r="C18" s="337">
        <f t="shared" si="5"/>
        <v>10317484</v>
      </c>
      <c r="D18" s="745">
        <v>9840978</v>
      </c>
      <c r="E18" s="745">
        <v>476506</v>
      </c>
      <c r="F18" s="746">
        <v>114040</v>
      </c>
      <c r="G18" s="746">
        <v>0</v>
      </c>
      <c r="H18" s="337">
        <f t="shared" si="6"/>
        <v>10203444</v>
      </c>
      <c r="I18" s="337">
        <f t="shared" si="7"/>
        <v>10051929</v>
      </c>
      <c r="J18" s="745">
        <v>586816</v>
      </c>
      <c r="K18" s="745">
        <v>0</v>
      </c>
      <c r="L18" s="745">
        <v>0</v>
      </c>
      <c r="M18" s="745">
        <v>638896</v>
      </c>
      <c r="N18" s="745">
        <v>22380</v>
      </c>
      <c r="O18" s="745">
        <v>0</v>
      </c>
      <c r="P18" s="745">
        <v>0</v>
      </c>
      <c r="Q18" s="747">
        <v>8803837</v>
      </c>
      <c r="R18" s="748">
        <v>151515</v>
      </c>
      <c r="S18" s="749">
        <f t="shared" si="8"/>
        <v>9616628</v>
      </c>
      <c r="T18" s="750">
        <f t="shared" si="4"/>
        <v>5.837844656483348</v>
      </c>
      <c r="U18" s="340">
        <f t="shared" si="2"/>
        <v>0</v>
      </c>
      <c r="V18" s="340">
        <f t="shared" si="3"/>
        <v>0</v>
      </c>
    </row>
    <row r="19" spans="1:22" ht="18" customHeight="1">
      <c r="A19" s="119" t="s">
        <v>64</v>
      </c>
      <c r="B19" s="744" t="s">
        <v>269</v>
      </c>
      <c r="C19" s="337">
        <f t="shared" si="5"/>
        <v>13428202</v>
      </c>
      <c r="D19" s="745">
        <v>13428002</v>
      </c>
      <c r="E19" s="745">
        <v>200</v>
      </c>
      <c r="F19" s="746">
        <v>0</v>
      </c>
      <c r="G19" s="746">
        <v>0</v>
      </c>
      <c r="H19" s="337">
        <f t="shared" si="6"/>
        <v>13428202</v>
      </c>
      <c r="I19" s="337">
        <f t="shared" si="7"/>
        <v>8060347</v>
      </c>
      <c r="J19" s="745">
        <v>165804</v>
      </c>
      <c r="K19" s="745">
        <v>0</v>
      </c>
      <c r="L19" s="745">
        <v>0</v>
      </c>
      <c r="M19" s="745">
        <v>7884499</v>
      </c>
      <c r="N19" s="745">
        <v>10044</v>
      </c>
      <c r="O19" s="745">
        <v>0</v>
      </c>
      <c r="P19" s="745">
        <v>0</v>
      </c>
      <c r="Q19" s="747">
        <v>0</v>
      </c>
      <c r="R19" s="748">
        <v>5367855</v>
      </c>
      <c r="S19" s="749">
        <f t="shared" si="8"/>
        <v>13262398</v>
      </c>
      <c r="T19" s="750">
        <f t="shared" si="4"/>
        <v>2.0570330284787985</v>
      </c>
      <c r="U19" s="340">
        <f t="shared" si="2"/>
        <v>0</v>
      </c>
      <c r="V19" s="340">
        <f t="shared" si="3"/>
        <v>0</v>
      </c>
    </row>
    <row r="20" spans="1:22" ht="18.75" customHeight="1">
      <c r="A20" s="119" t="s">
        <v>65</v>
      </c>
      <c r="B20" s="744" t="s">
        <v>270</v>
      </c>
      <c r="C20" s="337">
        <f t="shared" si="5"/>
        <v>22361605</v>
      </c>
      <c r="D20" s="745">
        <v>12467004</v>
      </c>
      <c r="E20" s="745">
        <v>9894601</v>
      </c>
      <c r="F20" s="746">
        <v>0</v>
      </c>
      <c r="G20" s="746">
        <v>0</v>
      </c>
      <c r="H20" s="337">
        <f t="shared" si="6"/>
        <v>22361605</v>
      </c>
      <c r="I20" s="337">
        <f t="shared" si="7"/>
        <v>22014159</v>
      </c>
      <c r="J20" s="745">
        <v>1994112</v>
      </c>
      <c r="K20" s="745">
        <v>676514</v>
      </c>
      <c r="L20" s="745">
        <v>0</v>
      </c>
      <c r="M20" s="745">
        <v>15351312</v>
      </c>
      <c r="N20" s="745">
        <v>2932619</v>
      </c>
      <c r="O20" s="745">
        <v>1059602</v>
      </c>
      <c r="P20" s="745">
        <v>0</v>
      </c>
      <c r="Q20" s="747">
        <v>0</v>
      </c>
      <c r="R20" s="748">
        <v>347446</v>
      </c>
      <c r="S20" s="749">
        <f t="shared" si="8"/>
        <v>19690979</v>
      </c>
      <c r="T20" s="750">
        <f t="shared" si="4"/>
        <v>12.131401431233417</v>
      </c>
      <c r="U20" s="340">
        <f t="shared" si="2"/>
        <v>0</v>
      </c>
      <c r="V20" s="340">
        <f t="shared" si="3"/>
        <v>0</v>
      </c>
    </row>
    <row r="21" spans="1:22" ht="18.75" customHeight="1">
      <c r="A21" s="119" t="s">
        <v>66</v>
      </c>
      <c r="B21" s="751" t="s">
        <v>271</v>
      </c>
      <c r="C21" s="337">
        <f t="shared" si="5"/>
        <v>19068042</v>
      </c>
      <c r="D21" s="745">
        <v>19068042</v>
      </c>
      <c r="E21" s="745">
        <v>0</v>
      </c>
      <c r="F21" s="746">
        <v>0</v>
      </c>
      <c r="G21" s="746">
        <v>0</v>
      </c>
      <c r="H21" s="337">
        <f t="shared" si="6"/>
        <v>19068042</v>
      </c>
      <c r="I21" s="337">
        <f t="shared" si="7"/>
        <v>18926649</v>
      </c>
      <c r="J21" s="745">
        <v>3200</v>
      </c>
      <c r="K21" s="745">
        <v>90000</v>
      </c>
      <c r="L21" s="745">
        <v>0</v>
      </c>
      <c r="M21" s="745">
        <v>18750751</v>
      </c>
      <c r="N21" s="745">
        <v>82698</v>
      </c>
      <c r="O21" s="745">
        <v>0</v>
      </c>
      <c r="P21" s="745">
        <v>0</v>
      </c>
      <c r="Q21" s="747">
        <v>0</v>
      </c>
      <c r="R21" s="748">
        <v>141393</v>
      </c>
      <c r="S21" s="749">
        <f t="shared" si="8"/>
        <v>18974842</v>
      </c>
      <c r="T21" s="750">
        <f t="shared" si="4"/>
        <v>0.4924273705292469</v>
      </c>
      <c r="U21" s="340">
        <f t="shared" si="2"/>
        <v>0</v>
      </c>
      <c r="V21" s="340">
        <f t="shared" si="3"/>
        <v>0</v>
      </c>
    </row>
    <row r="22" spans="1:22" ht="19.5" customHeight="1">
      <c r="A22" s="119" t="s">
        <v>67</v>
      </c>
      <c r="B22" s="751" t="s">
        <v>272</v>
      </c>
      <c r="C22" s="337">
        <f t="shared" si="5"/>
        <v>2075168</v>
      </c>
      <c r="D22" s="745">
        <v>1402938</v>
      </c>
      <c r="E22" s="745">
        <v>672230</v>
      </c>
      <c r="F22" s="746">
        <v>0</v>
      </c>
      <c r="G22" s="746">
        <v>0</v>
      </c>
      <c r="H22" s="337">
        <f t="shared" si="6"/>
        <v>2075168</v>
      </c>
      <c r="I22" s="337">
        <f t="shared" si="7"/>
        <v>2075168</v>
      </c>
      <c r="J22" s="745">
        <v>1259027</v>
      </c>
      <c r="K22" s="745">
        <v>0</v>
      </c>
      <c r="L22" s="745">
        <v>0</v>
      </c>
      <c r="M22" s="745">
        <v>816141</v>
      </c>
      <c r="N22" s="745">
        <v>0</v>
      </c>
      <c r="O22" s="745">
        <v>0</v>
      </c>
      <c r="P22" s="745">
        <v>0</v>
      </c>
      <c r="Q22" s="747">
        <v>0</v>
      </c>
      <c r="R22" s="748">
        <v>0</v>
      </c>
      <c r="S22" s="749">
        <f t="shared" si="8"/>
        <v>816141</v>
      </c>
      <c r="T22" s="750">
        <f t="shared" si="4"/>
        <v>60.67108783481626</v>
      </c>
      <c r="U22" s="340">
        <f t="shared" si="2"/>
        <v>0</v>
      </c>
      <c r="V22" s="340">
        <f t="shared" si="3"/>
        <v>0</v>
      </c>
    </row>
    <row r="23" spans="1:22" ht="19.5" customHeight="1">
      <c r="A23" s="119" t="s">
        <v>85</v>
      </c>
      <c r="B23" s="744" t="s">
        <v>273</v>
      </c>
      <c r="C23" s="337">
        <f t="shared" si="5"/>
        <v>14771773</v>
      </c>
      <c r="D23" s="745">
        <v>14708841</v>
      </c>
      <c r="E23" s="745">
        <v>62932</v>
      </c>
      <c r="F23" s="746">
        <v>3644</v>
      </c>
      <c r="G23" s="746">
        <v>0</v>
      </c>
      <c r="H23" s="337">
        <f t="shared" si="6"/>
        <v>14768129</v>
      </c>
      <c r="I23" s="337">
        <f t="shared" si="7"/>
        <v>14495890</v>
      </c>
      <c r="J23" s="745">
        <f>515051-3644</f>
        <v>511407</v>
      </c>
      <c r="K23" s="745">
        <v>0</v>
      </c>
      <c r="L23" s="745">
        <v>0</v>
      </c>
      <c r="M23" s="745">
        <f>1361386</f>
        <v>1361386</v>
      </c>
      <c r="N23" s="745">
        <v>9503790</v>
      </c>
      <c r="O23" s="745">
        <v>0</v>
      </c>
      <c r="P23" s="745">
        <v>0</v>
      </c>
      <c r="Q23" s="747">
        <v>3119307</v>
      </c>
      <c r="R23" s="748">
        <v>272239</v>
      </c>
      <c r="S23" s="749">
        <f t="shared" si="8"/>
        <v>14256722</v>
      </c>
      <c r="T23" s="750">
        <f t="shared" si="4"/>
        <v>3.5279448174620534</v>
      </c>
      <c r="U23" s="340">
        <f t="shared" si="2"/>
        <v>0</v>
      </c>
      <c r="V23" s="340">
        <f t="shared" si="3"/>
        <v>0</v>
      </c>
    </row>
    <row r="24" spans="1:22" ht="18.75" customHeight="1">
      <c r="A24" s="119" t="s">
        <v>425</v>
      </c>
      <c r="B24" s="744" t="s">
        <v>588</v>
      </c>
      <c r="C24" s="337">
        <f t="shared" si="5"/>
        <v>3411727</v>
      </c>
      <c r="D24" s="745">
        <v>1711832</v>
      </c>
      <c r="E24" s="745">
        <f>1695425+4470</f>
        <v>1699895</v>
      </c>
      <c r="F24" s="746">
        <v>0</v>
      </c>
      <c r="G24" s="746">
        <v>0</v>
      </c>
      <c r="H24" s="337">
        <f t="shared" si="6"/>
        <v>3411727</v>
      </c>
      <c r="I24" s="337">
        <f t="shared" si="7"/>
        <v>2898406</v>
      </c>
      <c r="J24" s="745">
        <v>264577</v>
      </c>
      <c r="K24" s="745">
        <v>0</v>
      </c>
      <c r="L24" s="745">
        <v>0</v>
      </c>
      <c r="M24" s="745">
        <v>2630129</v>
      </c>
      <c r="N24" s="745">
        <v>0</v>
      </c>
      <c r="O24" s="745">
        <v>0</v>
      </c>
      <c r="P24" s="745">
        <v>0</v>
      </c>
      <c r="Q24" s="747">
        <v>3700</v>
      </c>
      <c r="R24" s="748">
        <v>513321</v>
      </c>
      <c r="S24" s="749">
        <f t="shared" si="8"/>
        <v>3147150</v>
      </c>
      <c r="T24" s="750">
        <f t="shared" si="4"/>
        <v>9.128362279128597</v>
      </c>
      <c r="U24" s="340">
        <f t="shared" si="2"/>
        <v>0</v>
      </c>
      <c r="V24" s="340">
        <f t="shared" si="3"/>
        <v>0</v>
      </c>
    </row>
    <row r="25" spans="1:22" ht="20.25" customHeight="1" thickBot="1">
      <c r="A25" s="331" t="s">
        <v>586</v>
      </c>
      <c r="B25" s="752" t="s">
        <v>274</v>
      </c>
      <c r="C25" s="753">
        <f t="shared" si="5"/>
        <v>7101121</v>
      </c>
      <c r="D25" s="754">
        <v>2348102</v>
      </c>
      <c r="E25" s="754">
        <v>4753019</v>
      </c>
      <c r="F25" s="755">
        <v>0</v>
      </c>
      <c r="G25" s="755">
        <v>0</v>
      </c>
      <c r="H25" s="753">
        <f t="shared" si="6"/>
        <v>7101121</v>
      </c>
      <c r="I25" s="753">
        <f t="shared" si="7"/>
        <v>5496501</v>
      </c>
      <c r="J25" s="754">
        <v>148282</v>
      </c>
      <c r="K25" s="754">
        <v>0</v>
      </c>
      <c r="L25" s="754">
        <v>0</v>
      </c>
      <c r="M25" s="754">
        <v>4793219</v>
      </c>
      <c r="N25" s="754">
        <v>555000</v>
      </c>
      <c r="O25" s="754">
        <v>0</v>
      </c>
      <c r="P25" s="754">
        <v>0</v>
      </c>
      <c r="Q25" s="756">
        <v>0</v>
      </c>
      <c r="R25" s="757">
        <v>1604620</v>
      </c>
      <c r="S25" s="758">
        <f t="shared" si="8"/>
        <v>6952839</v>
      </c>
      <c r="T25" s="759">
        <f t="shared" si="4"/>
        <v>2.697752624806218</v>
      </c>
      <c r="U25" s="340">
        <f t="shared" si="2"/>
        <v>0</v>
      </c>
      <c r="V25" s="340">
        <f t="shared" si="3"/>
        <v>0</v>
      </c>
    </row>
    <row r="26" spans="1:22" ht="19.5" customHeight="1" thickTop="1">
      <c r="A26" s="203" t="s">
        <v>1</v>
      </c>
      <c r="B26" s="241" t="s">
        <v>14</v>
      </c>
      <c r="C26" s="338">
        <f aca="true" t="shared" si="9" ref="C26:S26">C27+C38+C43+C49+C55+C59+C62+C68+C73+C77</f>
        <v>1044461712</v>
      </c>
      <c r="D26" s="338">
        <f t="shared" si="9"/>
        <v>861888089</v>
      </c>
      <c r="E26" s="338">
        <f t="shared" si="9"/>
        <v>182573623</v>
      </c>
      <c r="F26" s="338">
        <f t="shared" si="9"/>
        <v>8849217</v>
      </c>
      <c r="G26" s="338">
        <f t="shared" si="9"/>
        <v>33610464</v>
      </c>
      <c r="H26" s="338">
        <f t="shared" si="9"/>
        <v>1035612495</v>
      </c>
      <c r="I26" s="338">
        <f t="shared" si="9"/>
        <v>1002800398</v>
      </c>
      <c r="J26" s="338">
        <f>J27+J38+J43+J49+J55+J59+J62+J68+J73+J77</f>
        <v>52093246</v>
      </c>
      <c r="K26" s="338">
        <f t="shared" si="9"/>
        <v>6507895</v>
      </c>
      <c r="L26" s="338">
        <f t="shared" si="9"/>
        <v>8790</v>
      </c>
      <c r="M26" s="338">
        <f t="shared" si="9"/>
        <v>595610111</v>
      </c>
      <c r="N26" s="338">
        <f t="shared" si="9"/>
        <v>16736073</v>
      </c>
      <c r="O26" s="338">
        <f t="shared" si="9"/>
        <v>158437237</v>
      </c>
      <c r="P26" s="338">
        <f t="shared" si="9"/>
        <v>0</v>
      </c>
      <c r="Q26" s="338">
        <f t="shared" si="9"/>
        <v>173407046</v>
      </c>
      <c r="R26" s="338">
        <f t="shared" si="9"/>
        <v>32812097</v>
      </c>
      <c r="S26" s="338">
        <f t="shared" si="9"/>
        <v>977011354</v>
      </c>
      <c r="T26" s="343">
        <f t="shared" si="4"/>
        <v>5.844625821538615</v>
      </c>
      <c r="U26" s="340">
        <f t="shared" si="2"/>
        <v>0</v>
      </c>
      <c r="V26" s="340">
        <f t="shared" si="3"/>
        <v>33610464</v>
      </c>
    </row>
    <row r="27" spans="1:22" ht="19.5" customHeight="1">
      <c r="A27" s="201" t="s">
        <v>37</v>
      </c>
      <c r="B27" s="240" t="s">
        <v>286</v>
      </c>
      <c r="C27" s="337">
        <f>SUM(C28:C37)</f>
        <v>532723937</v>
      </c>
      <c r="D27" s="337">
        <f aca="true" t="shared" si="10" ref="D27:R27">SUM(D28:D37)</f>
        <v>477946287</v>
      </c>
      <c r="E27" s="337">
        <f t="shared" si="10"/>
        <v>54777650</v>
      </c>
      <c r="F27" s="337">
        <f t="shared" si="10"/>
        <v>617750</v>
      </c>
      <c r="G27" s="337">
        <f t="shared" si="10"/>
        <v>8485070</v>
      </c>
      <c r="H27" s="337">
        <f t="shared" si="10"/>
        <v>532106187</v>
      </c>
      <c r="I27" s="337">
        <f t="shared" si="10"/>
        <v>525100068</v>
      </c>
      <c r="J27" s="337">
        <f t="shared" si="10"/>
        <v>17393536</v>
      </c>
      <c r="K27" s="337">
        <f t="shared" si="10"/>
        <v>1072794</v>
      </c>
      <c r="L27" s="337">
        <f t="shared" si="10"/>
        <v>0</v>
      </c>
      <c r="M27" s="337">
        <f t="shared" si="10"/>
        <v>253881947</v>
      </c>
      <c r="N27" s="337">
        <f t="shared" si="10"/>
        <v>6630323</v>
      </c>
      <c r="O27" s="337">
        <f t="shared" si="10"/>
        <v>158423817</v>
      </c>
      <c r="P27" s="337">
        <f t="shared" si="10"/>
        <v>0</v>
      </c>
      <c r="Q27" s="337">
        <f t="shared" si="10"/>
        <v>87697651</v>
      </c>
      <c r="R27" s="337">
        <f t="shared" si="10"/>
        <v>7006119</v>
      </c>
      <c r="S27" s="341">
        <f>R27+Q27+P27+O27+N27+M27+L27</f>
        <v>513639857</v>
      </c>
      <c r="T27" s="342">
        <f t="shared" si="4"/>
        <v>3.5167258824274232</v>
      </c>
      <c r="U27" s="340">
        <f t="shared" si="2"/>
        <v>0</v>
      </c>
      <c r="V27" s="340">
        <f t="shared" si="3"/>
        <v>8485070</v>
      </c>
    </row>
    <row r="28" spans="1:22" ht="18.75" customHeight="1">
      <c r="A28" s="119" t="s">
        <v>39</v>
      </c>
      <c r="B28" s="744" t="s">
        <v>276</v>
      </c>
      <c r="C28" s="337">
        <f>D28+E28</f>
        <v>17207062</v>
      </c>
      <c r="D28" s="760">
        <v>16054702</v>
      </c>
      <c r="E28" s="760">
        <v>1152360</v>
      </c>
      <c r="F28" s="761">
        <v>400</v>
      </c>
      <c r="G28" s="761">
        <v>0</v>
      </c>
      <c r="H28" s="337">
        <f>I28+R28</f>
        <v>17206662</v>
      </c>
      <c r="I28" s="337">
        <f>J28+K28+L28+M28+N28+O28+P28+Q28</f>
        <v>17130218</v>
      </c>
      <c r="J28" s="760">
        <v>97918</v>
      </c>
      <c r="K28" s="760">
        <v>2200</v>
      </c>
      <c r="L28" s="760">
        <v>0</v>
      </c>
      <c r="M28" s="760">
        <v>11067515</v>
      </c>
      <c r="N28" s="760">
        <v>5900573</v>
      </c>
      <c r="O28" s="760">
        <v>30050</v>
      </c>
      <c r="P28" s="760">
        <v>0</v>
      </c>
      <c r="Q28" s="762">
        <v>31962</v>
      </c>
      <c r="R28" s="763">
        <v>76444</v>
      </c>
      <c r="S28" s="749">
        <f>R28+Q28+P28+O28+N28+M28+L28</f>
        <v>17106544</v>
      </c>
      <c r="T28" s="750">
        <f t="shared" si="4"/>
        <v>0.5844525738084594</v>
      </c>
      <c r="U28" s="340">
        <f t="shared" si="2"/>
        <v>0</v>
      </c>
      <c r="V28" s="340">
        <f t="shared" si="3"/>
        <v>0</v>
      </c>
    </row>
    <row r="29" spans="1:22" ht="18.75" customHeight="1">
      <c r="A29" s="119" t="s">
        <v>40</v>
      </c>
      <c r="B29" s="744" t="s">
        <v>277</v>
      </c>
      <c r="C29" s="337">
        <f aca="true" t="shared" si="11" ref="C29:C79">D29+E29</f>
        <v>18600219</v>
      </c>
      <c r="D29" s="760">
        <v>17774192</v>
      </c>
      <c r="E29" s="760">
        <v>826027</v>
      </c>
      <c r="F29" s="761">
        <v>0</v>
      </c>
      <c r="G29" s="761">
        <v>0</v>
      </c>
      <c r="H29" s="337">
        <f aca="true" t="shared" si="12" ref="H29:H79">I29+R29</f>
        <v>18600219</v>
      </c>
      <c r="I29" s="337">
        <f aca="true" t="shared" si="13" ref="I29:I79">J29+K29+L29+M29+N29+O29+P29+Q29</f>
        <v>18530309</v>
      </c>
      <c r="J29" s="760">
        <v>151035</v>
      </c>
      <c r="K29" s="760">
        <v>24825</v>
      </c>
      <c r="L29" s="760">
        <v>0</v>
      </c>
      <c r="M29" s="760">
        <v>17819522</v>
      </c>
      <c r="N29" s="760">
        <v>504000</v>
      </c>
      <c r="O29" s="760">
        <v>30927</v>
      </c>
      <c r="P29" s="760">
        <v>0</v>
      </c>
      <c r="Q29" s="762">
        <v>0</v>
      </c>
      <c r="R29" s="763">
        <v>69910</v>
      </c>
      <c r="S29" s="749">
        <f aca="true" t="shared" si="14" ref="S29:S79">R29+Q29+P29+O29+N29+M29+L29</f>
        <v>18424359</v>
      </c>
      <c r="T29" s="750">
        <f t="shared" si="4"/>
        <v>0.9490397596715737</v>
      </c>
      <c r="U29" s="340">
        <f t="shared" si="2"/>
        <v>0</v>
      </c>
      <c r="V29" s="340">
        <f t="shared" si="3"/>
        <v>0</v>
      </c>
    </row>
    <row r="30" spans="1:22" ht="18.75" customHeight="1">
      <c r="A30" s="119" t="s">
        <v>110</v>
      </c>
      <c r="B30" s="744" t="s">
        <v>278</v>
      </c>
      <c r="C30" s="337">
        <f t="shared" si="11"/>
        <v>243568537</v>
      </c>
      <c r="D30" s="760">
        <v>234270086</v>
      </c>
      <c r="E30" s="760">
        <v>9298451</v>
      </c>
      <c r="F30" s="761">
        <v>0</v>
      </c>
      <c r="G30" s="761">
        <v>0</v>
      </c>
      <c r="H30" s="337">
        <f t="shared" si="12"/>
        <v>243568537</v>
      </c>
      <c r="I30" s="337">
        <f t="shared" si="13"/>
        <v>243406303</v>
      </c>
      <c r="J30" s="760">
        <v>625735</v>
      </c>
      <c r="K30" s="760">
        <v>150682</v>
      </c>
      <c r="L30" s="760">
        <v>0</v>
      </c>
      <c r="M30" s="760">
        <v>24197788</v>
      </c>
      <c r="N30" s="760">
        <v>40000</v>
      </c>
      <c r="O30" s="760">
        <v>155504344</v>
      </c>
      <c r="P30" s="760">
        <v>0</v>
      </c>
      <c r="Q30" s="762">
        <v>62887754</v>
      </c>
      <c r="R30" s="763">
        <v>162234</v>
      </c>
      <c r="S30" s="749">
        <f t="shared" si="14"/>
        <v>242792120</v>
      </c>
      <c r="T30" s="750">
        <f t="shared" si="4"/>
        <v>0.31897982526771296</v>
      </c>
      <c r="U30" s="340">
        <f t="shared" si="2"/>
        <v>0</v>
      </c>
      <c r="V30" s="340">
        <f t="shared" si="3"/>
        <v>0</v>
      </c>
    </row>
    <row r="31" spans="1:22" ht="18.75" customHeight="1">
      <c r="A31" s="119" t="s">
        <v>112</v>
      </c>
      <c r="B31" s="744" t="s">
        <v>279</v>
      </c>
      <c r="C31" s="337">
        <f t="shared" si="11"/>
        <v>13949576</v>
      </c>
      <c r="D31" s="760">
        <v>10017607</v>
      </c>
      <c r="E31" s="760">
        <v>3931969</v>
      </c>
      <c r="F31" s="761">
        <f>534808</f>
        <v>534808</v>
      </c>
      <c r="G31" s="761">
        <v>0</v>
      </c>
      <c r="H31" s="337">
        <f t="shared" si="12"/>
        <v>13414768</v>
      </c>
      <c r="I31" s="337">
        <f t="shared" si="13"/>
        <v>11503660</v>
      </c>
      <c r="J31" s="760">
        <v>2054937</v>
      </c>
      <c r="K31" s="760">
        <v>26065</v>
      </c>
      <c r="L31" s="760">
        <v>0</v>
      </c>
      <c r="M31" s="760">
        <v>8713874</v>
      </c>
      <c r="N31" s="760">
        <v>0</v>
      </c>
      <c r="O31" s="760">
        <v>0</v>
      </c>
      <c r="P31" s="760">
        <v>0</v>
      </c>
      <c r="Q31" s="762">
        <v>708784</v>
      </c>
      <c r="R31" s="763">
        <v>1911108</v>
      </c>
      <c r="S31" s="749">
        <f t="shared" si="14"/>
        <v>11333766</v>
      </c>
      <c r="T31" s="750">
        <f t="shared" si="4"/>
        <v>18.089912254013072</v>
      </c>
      <c r="U31" s="340">
        <f t="shared" si="2"/>
        <v>0</v>
      </c>
      <c r="V31" s="340">
        <f t="shared" si="3"/>
        <v>0</v>
      </c>
    </row>
    <row r="32" spans="1:22" ht="18.75" customHeight="1">
      <c r="A32" s="119" t="s">
        <v>114</v>
      </c>
      <c r="B32" s="744" t="s">
        <v>280</v>
      </c>
      <c r="C32" s="337">
        <f t="shared" si="11"/>
        <v>15057783</v>
      </c>
      <c r="D32" s="760">
        <v>13696492</v>
      </c>
      <c r="E32" s="760">
        <v>1361291</v>
      </c>
      <c r="F32" s="761">
        <v>0</v>
      </c>
      <c r="G32" s="761">
        <v>0</v>
      </c>
      <c r="H32" s="337">
        <f t="shared" si="12"/>
        <v>15057783</v>
      </c>
      <c r="I32" s="337">
        <f t="shared" si="13"/>
        <v>13914367</v>
      </c>
      <c r="J32" s="760">
        <v>1125952</v>
      </c>
      <c r="K32" s="760">
        <v>192371</v>
      </c>
      <c r="L32" s="760">
        <v>0</v>
      </c>
      <c r="M32" s="760">
        <v>4164677</v>
      </c>
      <c r="N32" s="760">
        <v>0</v>
      </c>
      <c r="O32" s="760">
        <v>0</v>
      </c>
      <c r="P32" s="760">
        <v>0</v>
      </c>
      <c r="Q32" s="762">
        <v>8431367</v>
      </c>
      <c r="R32" s="763">
        <v>1143416</v>
      </c>
      <c r="S32" s="749">
        <f t="shared" si="14"/>
        <v>13739460</v>
      </c>
      <c r="T32" s="750">
        <f t="shared" si="4"/>
        <v>9.474545266773545</v>
      </c>
      <c r="U32" s="340">
        <f t="shared" si="2"/>
        <v>0</v>
      </c>
      <c r="V32" s="340">
        <f t="shared" si="3"/>
        <v>0</v>
      </c>
    </row>
    <row r="33" spans="1:22" ht="18.75" customHeight="1">
      <c r="A33" s="119" t="s">
        <v>116</v>
      </c>
      <c r="B33" s="744" t="s">
        <v>281</v>
      </c>
      <c r="C33" s="337">
        <f t="shared" si="11"/>
        <v>54901766</v>
      </c>
      <c r="D33" s="760">
        <f>45976267</f>
        <v>45976267</v>
      </c>
      <c r="E33" s="760">
        <v>8925499</v>
      </c>
      <c r="F33" s="761">
        <v>0</v>
      </c>
      <c r="G33" s="761">
        <v>8485070</v>
      </c>
      <c r="H33" s="337">
        <f t="shared" si="12"/>
        <v>54901766</v>
      </c>
      <c r="I33" s="337">
        <f t="shared" si="13"/>
        <v>51965889</v>
      </c>
      <c r="J33" s="760">
        <v>4402431</v>
      </c>
      <c r="K33" s="760">
        <v>269011</v>
      </c>
      <c r="L33" s="760">
        <v>0</v>
      </c>
      <c r="M33" s="760">
        <v>44282339</v>
      </c>
      <c r="N33" s="760">
        <v>185750</v>
      </c>
      <c r="O33" s="760">
        <v>2826358</v>
      </c>
      <c r="P33" s="760">
        <v>0</v>
      </c>
      <c r="Q33" s="762">
        <v>0</v>
      </c>
      <c r="R33" s="763">
        <v>2935877</v>
      </c>
      <c r="S33" s="749">
        <f t="shared" si="14"/>
        <v>50230324</v>
      </c>
      <c r="T33" s="750">
        <f t="shared" si="4"/>
        <v>8.989439206938227</v>
      </c>
      <c r="U33" s="340">
        <f t="shared" si="2"/>
        <v>0</v>
      </c>
      <c r="V33" s="340">
        <f t="shared" si="3"/>
        <v>8485070</v>
      </c>
    </row>
    <row r="34" spans="1:22" ht="18.75" customHeight="1">
      <c r="A34" s="119" t="s">
        <v>118</v>
      </c>
      <c r="B34" s="744" t="s">
        <v>282</v>
      </c>
      <c r="C34" s="337">
        <f t="shared" si="11"/>
        <v>107196600</v>
      </c>
      <c r="D34" s="760">
        <v>101053093</v>
      </c>
      <c r="E34" s="760">
        <v>6143507</v>
      </c>
      <c r="F34" s="761">
        <v>0</v>
      </c>
      <c r="G34" s="761">
        <v>0</v>
      </c>
      <c r="H34" s="337">
        <f t="shared" si="12"/>
        <v>107196600</v>
      </c>
      <c r="I34" s="337">
        <f t="shared" si="13"/>
        <v>107030258</v>
      </c>
      <c r="J34" s="760">
        <v>3360344</v>
      </c>
      <c r="K34" s="760">
        <v>160000</v>
      </c>
      <c r="L34" s="760">
        <v>0</v>
      </c>
      <c r="M34" s="760">
        <v>87839992</v>
      </c>
      <c r="N34" s="760">
        <v>0</v>
      </c>
      <c r="O34" s="760">
        <v>32138</v>
      </c>
      <c r="P34" s="760">
        <v>0</v>
      </c>
      <c r="Q34" s="762">
        <v>15637784</v>
      </c>
      <c r="R34" s="763">
        <v>166342</v>
      </c>
      <c r="S34" s="749">
        <f t="shared" si="14"/>
        <v>103676256</v>
      </c>
      <c r="T34" s="750">
        <f t="shared" si="4"/>
        <v>3.2891110100846435</v>
      </c>
      <c r="U34" s="340">
        <f t="shared" si="2"/>
        <v>0</v>
      </c>
      <c r="V34" s="340">
        <f t="shared" si="3"/>
        <v>0</v>
      </c>
    </row>
    <row r="35" spans="1:22" ht="18.75" customHeight="1">
      <c r="A35" s="119" t="s">
        <v>154</v>
      </c>
      <c r="B35" s="744" t="s">
        <v>283</v>
      </c>
      <c r="C35" s="337">
        <f t="shared" si="11"/>
        <v>38120503</v>
      </c>
      <c r="D35" s="760">
        <v>19812798</v>
      </c>
      <c r="E35" s="760">
        <v>18307705</v>
      </c>
      <c r="F35" s="761">
        <v>57292</v>
      </c>
      <c r="G35" s="761">
        <v>0</v>
      </c>
      <c r="H35" s="337">
        <f t="shared" si="12"/>
        <v>38063211</v>
      </c>
      <c r="I35" s="337">
        <f t="shared" si="13"/>
        <v>37933830</v>
      </c>
      <c r="J35" s="760">
        <v>3741754</v>
      </c>
      <c r="K35" s="760">
        <v>2700</v>
      </c>
      <c r="L35" s="760">
        <v>0</v>
      </c>
      <c r="M35" s="760">
        <v>34189376</v>
      </c>
      <c r="N35" s="760">
        <v>0</v>
      </c>
      <c r="O35" s="760">
        <v>0</v>
      </c>
      <c r="P35" s="760">
        <v>0</v>
      </c>
      <c r="Q35" s="762">
        <v>0</v>
      </c>
      <c r="R35" s="763">
        <v>129381</v>
      </c>
      <c r="S35" s="749">
        <f t="shared" si="14"/>
        <v>34318757</v>
      </c>
      <c r="T35" s="750">
        <f t="shared" si="4"/>
        <v>9.871014869840456</v>
      </c>
      <c r="U35" s="340">
        <f t="shared" si="2"/>
        <v>0</v>
      </c>
      <c r="V35" s="340">
        <f t="shared" si="3"/>
        <v>0</v>
      </c>
    </row>
    <row r="36" spans="1:22" ht="18.75" customHeight="1">
      <c r="A36" s="119" t="s">
        <v>265</v>
      </c>
      <c r="B36" s="744" t="s">
        <v>284</v>
      </c>
      <c r="C36" s="337">
        <f t="shared" si="11"/>
        <v>20686222</v>
      </c>
      <c r="D36" s="760">
        <v>18342974</v>
      </c>
      <c r="E36" s="760">
        <v>2343248</v>
      </c>
      <c r="F36" s="761">
        <v>1200</v>
      </c>
      <c r="G36" s="761">
        <v>0</v>
      </c>
      <c r="H36" s="337">
        <f t="shared" si="12"/>
        <v>20685022</v>
      </c>
      <c r="I36" s="337">
        <f t="shared" si="13"/>
        <v>20423401</v>
      </c>
      <c r="J36" s="760">
        <v>1236335</v>
      </c>
      <c r="K36" s="760">
        <v>129800</v>
      </c>
      <c r="L36" s="760">
        <v>0</v>
      </c>
      <c r="M36" s="760">
        <v>19057266</v>
      </c>
      <c r="N36" s="760">
        <v>0</v>
      </c>
      <c r="O36" s="760">
        <v>0</v>
      </c>
      <c r="P36" s="760">
        <v>0</v>
      </c>
      <c r="Q36" s="762">
        <v>0</v>
      </c>
      <c r="R36" s="763">
        <v>261621</v>
      </c>
      <c r="S36" s="749">
        <f t="shared" si="14"/>
        <v>19318887</v>
      </c>
      <c r="T36" s="750">
        <f t="shared" si="4"/>
        <v>6.689067114727855</v>
      </c>
      <c r="U36" s="340">
        <f t="shared" si="2"/>
        <v>0</v>
      </c>
      <c r="V36" s="340">
        <f t="shared" si="3"/>
        <v>0</v>
      </c>
    </row>
    <row r="37" spans="1:22" ht="18.75" customHeight="1" thickBot="1">
      <c r="A37" s="331" t="s">
        <v>266</v>
      </c>
      <c r="B37" s="764" t="s">
        <v>285</v>
      </c>
      <c r="C37" s="753">
        <f t="shared" si="11"/>
        <v>3435669</v>
      </c>
      <c r="D37" s="765">
        <v>948076</v>
      </c>
      <c r="E37" s="765">
        <v>2487593</v>
      </c>
      <c r="F37" s="766">
        <v>24050</v>
      </c>
      <c r="G37" s="766">
        <v>0</v>
      </c>
      <c r="H37" s="753">
        <f t="shared" si="12"/>
        <v>3411619</v>
      </c>
      <c r="I37" s="753">
        <f t="shared" si="13"/>
        <v>3261833</v>
      </c>
      <c r="J37" s="765">
        <v>597095</v>
      </c>
      <c r="K37" s="765">
        <v>115140</v>
      </c>
      <c r="L37" s="765">
        <v>0</v>
      </c>
      <c r="M37" s="765">
        <v>2549598</v>
      </c>
      <c r="N37" s="765">
        <v>0</v>
      </c>
      <c r="O37" s="765">
        <v>0</v>
      </c>
      <c r="P37" s="765">
        <v>0</v>
      </c>
      <c r="Q37" s="767">
        <v>0</v>
      </c>
      <c r="R37" s="768">
        <v>149786</v>
      </c>
      <c r="S37" s="758">
        <f t="shared" si="14"/>
        <v>2699384</v>
      </c>
      <c r="T37" s="759">
        <f t="shared" si="4"/>
        <v>21.835421985123087</v>
      </c>
      <c r="U37" s="340">
        <f t="shared" si="2"/>
        <v>0</v>
      </c>
      <c r="V37" s="340">
        <f t="shared" si="3"/>
        <v>0</v>
      </c>
    </row>
    <row r="38" spans="1:22" ht="20.25" customHeight="1" thickTop="1">
      <c r="A38" s="203" t="s">
        <v>38</v>
      </c>
      <c r="B38" s="241" t="s">
        <v>287</v>
      </c>
      <c r="C38" s="338">
        <f>SUM(C39:C42)</f>
        <v>93401416</v>
      </c>
      <c r="D38" s="338">
        <f aca="true" t="shared" si="15" ref="D38:R38">SUM(D39:D42)</f>
        <v>76762060</v>
      </c>
      <c r="E38" s="338">
        <f t="shared" si="15"/>
        <v>16639356</v>
      </c>
      <c r="F38" s="338">
        <f t="shared" si="15"/>
        <v>46086</v>
      </c>
      <c r="G38" s="338">
        <f t="shared" si="15"/>
        <v>3176401</v>
      </c>
      <c r="H38" s="338">
        <f t="shared" si="15"/>
        <v>93355330</v>
      </c>
      <c r="I38" s="338">
        <f t="shared" si="15"/>
        <v>84983691</v>
      </c>
      <c r="J38" s="338">
        <f t="shared" si="15"/>
        <v>1364329</v>
      </c>
      <c r="K38" s="338">
        <f t="shared" si="15"/>
        <v>501202</v>
      </c>
      <c r="L38" s="338">
        <f t="shared" si="15"/>
        <v>0</v>
      </c>
      <c r="M38" s="338">
        <f t="shared" si="15"/>
        <v>28599360</v>
      </c>
      <c r="N38" s="338">
        <f t="shared" si="15"/>
        <v>316250</v>
      </c>
      <c r="O38" s="338">
        <f t="shared" si="15"/>
        <v>0</v>
      </c>
      <c r="P38" s="338">
        <f t="shared" si="15"/>
        <v>0</v>
      </c>
      <c r="Q38" s="338">
        <f t="shared" si="15"/>
        <v>54202550</v>
      </c>
      <c r="R38" s="338">
        <f t="shared" si="15"/>
        <v>8371639</v>
      </c>
      <c r="S38" s="344">
        <f t="shared" si="14"/>
        <v>91489799</v>
      </c>
      <c r="T38" s="343">
        <f t="shared" si="4"/>
        <v>2.195163540260919</v>
      </c>
      <c r="U38" s="340">
        <f t="shared" si="2"/>
        <v>0</v>
      </c>
      <c r="V38" s="340">
        <f t="shared" si="3"/>
        <v>3176401</v>
      </c>
    </row>
    <row r="39" spans="1:22" ht="18.75" customHeight="1">
      <c r="A39" s="205">
        <v>2.1</v>
      </c>
      <c r="B39" s="769" t="s">
        <v>288</v>
      </c>
      <c r="C39" s="337">
        <f t="shared" si="11"/>
        <v>62361113</v>
      </c>
      <c r="D39" s="760">
        <v>59325367</v>
      </c>
      <c r="E39" s="760">
        <v>3035746</v>
      </c>
      <c r="F39" s="761">
        <v>400</v>
      </c>
      <c r="G39" s="761">
        <v>0</v>
      </c>
      <c r="H39" s="337">
        <f t="shared" si="12"/>
        <v>62360713</v>
      </c>
      <c r="I39" s="337">
        <f t="shared" si="13"/>
        <v>61497600</v>
      </c>
      <c r="J39" s="760">
        <v>247528</v>
      </c>
      <c r="K39" s="760">
        <v>67682</v>
      </c>
      <c r="L39" s="760">
        <v>0</v>
      </c>
      <c r="M39" s="760">
        <v>15122321</v>
      </c>
      <c r="N39" s="760">
        <v>4436</v>
      </c>
      <c r="O39" s="760">
        <v>0</v>
      </c>
      <c r="P39" s="760">
        <v>0</v>
      </c>
      <c r="Q39" s="762">
        <v>46055633</v>
      </c>
      <c r="R39" s="763">
        <v>863113</v>
      </c>
      <c r="S39" s="749">
        <f t="shared" si="14"/>
        <v>62045503</v>
      </c>
      <c r="T39" s="750">
        <f t="shared" si="4"/>
        <v>0.5125565875741492</v>
      </c>
      <c r="U39" s="340">
        <f t="shared" si="2"/>
        <v>0</v>
      </c>
      <c r="V39" s="340">
        <f t="shared" si="3"/>
        <v>0</v>
      </c>
    </row>
    <row r="40" spans="1:22" ht="18.75" customHeight="1">
      <c r="A40" s="205">
        <v>2.2</v>
      </c>
      <c r="B40" s="744" t="s">
        <v>289</v>
      </c>
      <c r="C40" s="337">
        <f t="shared" si="11"/>
        <v>15354153</v>
      </c>
      <c r="D40" s="760">
        <f>11766936-2466191</f>
        <v>9300745</v>
      </c>
      <c r="E40" s="760">
        <v>6053408</v>
      </c>
      <c r="F40" s="761">
        <v>10400</v>
      </c>
      <c r="G40" s="761">
        <v>2466191</v>
      </c>
      <c r="H40" s="337">
        <f t="shared" si="12"/>
        <v>15343753</v>
      </c>
      <c r="I40" s="337">
        <f t="shared" si="13"/>
        <v>14003287</v>
      </c>
      <c r="J40" s="760">
        <v>671252</v>
      </c>
      <c r="K40" s="760">
        <v>431520</v>
      </c>
      <c r="L40" s="760">
        <v>0</v>
      </c>
      <c r="M40" s="760">
        <v>5315898</v>
      </c>
      <c r="N40" s="760">
        <v>15450</v>
      </c>
      <c r="O40" s="760">
        <v>0</v>
      </c>
      <c r="P40" s="760">
        <v>0</v>
      </c>
      <c r="Q40" s="762">
        <v>7569167</v>
      </c>
      <c r="R40" s="763">
        <v>1340466</v>
      </c>
      <c r="S40" s="749">
        <f t="shared" si="14"/>
        <v>14240981</v>
      </c>
      <c r="T40" s="750">
        <f t="shared" si="4"/>
        <v>7.875093897597043</v>
      </c>
      <c r="U40" s="340">
        <f t="shared" si="2"/>
        <v>0</v>
      </c>
      <c r="V40" s="340">
        <f t="shared" si="3"/>
        <v>2466191</v>
      </c>
    </row>
    <row r="41" spans="1:22" ht="18.75" customHeight="1">
      <c r="A41" s="205">
        <v>2.3</v>
      </c>
      <c r="B41" s="744" t="s">
        <v>290</v>
      </c>
      <c r="C41" s="337">
        <f t="shared" si="11"/>
        <v>3659306</v>
      </c>
      <c r="D41" s="760">
        <f>3890218-710210</f>
        <v>3180008</v>
      </c>
      <c r="E41" s="760">
        <v>479298</v>
      </c>
      <c r="F41" s="761">
        <v>1600</v>
      </c>
      <c r="G41" s="761">
        <v>710210</v>
      </c>
      <c r="H41" s="337">
        <f t="shared" si="12"/>
        <v>3657706</v>
      </c>
      <c r="I41" s="337">
        <f t="shared" si="13"/>
        <v>3307639</v>
      </c>
      <c r="J41" s="760">
        <v>105246</v>
      </c>
      <c r="K41" s="760">
        <v>0</v>
      </c>
      <c r="L41" s="760">
        <v>0</v>
      </c>
      <c r="M41" s="760">
        <v>3202393</v>
      </c>
      <c r="N41" s="760">
        <v>0</v>
      </c>
      <c r="O41" s="760">
        <v>0</v>
      </c>
      <c r="P41" s="760">
        <v>0</v>
      </c>
      <c r="Q41" s="762">
        <v>0</v>
      </c>
      <c r="R41" s="763">
        <v>350067</v>
      </c>
      <c r="S41" s="749">
        <f t="shared" si="14"/>
        <v>3552460</v>
      </c>
      <c r="T41" s="750">
        <f t="shared" si="4"/>
        <v>3.181907094456197</v>
      </c>
      <c r="U41" s="340">
        <f t="shared" si="2"/>
        <v>0</v>
      </c>
      <c r="V41" s="340">
        <f t="shared" si="3"/>
        <v>710210</v>
      </c>
    </row>
    <row r="42" spans="1:22" ht="19.5" customHeight="1" thickBot="1">
      <c r="A42" s="330">
        <v>2.4</v>
      </c>
      <c r="B42" s="770" t="s">
        <v>395</v>
      </c>
      <c r="C42" s="753">
        <f t="shared" si="11"/>
        <v>12026844</v>
      </c>
      <c r="D42" s="765">
        <v>4955940</v>
      </c>
      <c r="E42" s="765">
        <v>7070904</v>
      </c>
      <c r="F42" s="766">
        <v>33686</v>
      </c>
      <c r="G42" s="766">
        <v>0</v>
      </c>
      <c r="H42" s="753">
        <f t="shared" si="12"/>
        <v>11993158</v>
      </c>
      <c r="I42" s="753">
        <f t="shared" si="13"/>
        <v>6175165</v>
      </c>
      <c r="J42" s="765">
        <v>340303</v>
      </c>
      <c r="K42" s="765">
        <v>2000</v>
      </c>
      <c r="L42" s="765">
        <v>0</v>
      </c>
      <c r="M42" s="765">
        <v>4958748</v>
      </c>
      <c r="N42" s="765">
        <v>296364</v>
      </c>
      <c r="O42" s="765">
        <v>0</v>
      </c>
      <c r="P42" s="765">
        <v>0</v>
      </c>
      <c r="Q42" s="767">
        <v>577750</v>
      </c>
      <c r="R42" s="768">
        <v>5817993</v>
      </c>
      <c r="S42" s="758">
        <f t="shared" si="14"/>
        <v>11650855</v>
      </c>
      <c r="T42" s="759">
        <f t="shared" si="4"/>
        <v>5.543220302615396</v>
      </c>
      <c r="U42" s="340">
        <f t="shared" si="2"/>
        <v>0</v>
      </c>
      <c r="V42" s="340">
        <f t="shared" si="3"/>
        <v>0</v>
      </c>
    </row>
    <row r="43" spans="1:22" ht="19.5" customHeight="1" thickTop="1">
      <c r="A43" s="203" t="s">
        <v>43</v>
      </c>
      <c r="B43" s="241" t="s">
        <v>291</v>
      </c>
      <c r="C43" s="338">
        <f aca="true" t="shared" si="16" ref="C43:R43">SUM(C44:C48)</f>
        <v>58154418</v>
      </c>
      <c r="D43" s="338">
        <f t="shared" si="16"/>
        <v>41236679</v>
      </c>
      <c r="E43" s="338">
        <f t="shared" si="16"/>
        <v>16917739</v>
      </c>
      <c r="F43" s="338">
        <f t="shared" si="16"/>
        <v>257785</v>
      </c>
      <c r="G43" s="338">
        <f t="shared" si="16"/>
        <v>0</v>
      </c>
      <c r="H43" s="338">
        <f t="shared" si="16"/>
        <v>57896633</v>
      </c>
      <c r="I43" s="338">
        <f t="shared" si="16"/>
        <v>48777079</v>
      </c>
      <c r="J43" s="338">
        <f>SUM(J44:J48)</f>
        <v>6315073</v>
      </c>
      <c r="K43" s="338">
        <f t="shared" si="16"/>
        <v>3284780</v>
      </c>
      <c r="L43" s="338">
        <f t="shared" si="16"/>
        <v>0</v>
      </c>
      <c r="M43" s="338">
        <f t="shared" si="16"/>
        <v>30929927</v>
      </c>
      <c r="N43" s="338">
        <f t="shared" si="16"/>
        <v>2730211</v>
      </c>
      <c r="O43" s="338">
        <f t="shared" si="16"/>
        <v>13420</v>
      </c>
      <c r="P43" s="338">
        <f t="shared" si="16"/>
        <v>0</v>
      </c>
      <c r="Q43" s="338">
        <f t="shared" si="16"/>
        <v>5503668</v>
      </c>
      <c r="R43" s="338">
        <f t="shared" si="16"/>
        <v>9119554</v>
      </c>
      <c r="S43" s="344">
        <f t="shared" si="14"/>
        <v>48296780</v>
      </c>
      <c r="T43" s="343">
        <f t="shared" si="4"/>
        <v>19.681073973289788</v>
      </c>
      <c r="U43" s="340">
        <f t="shared" si="2"/>
        <v>0</v>
      </c>
      <c r="V43" s="340">
        <f t="shared" si="3"/>
        <v>0</v>
      </c>
    </row>
    <row r="44" spans="1:22" ht="18" customHeight="1">
      <c r="A44" s="205">
        <v>3.1</v>
      </c>
      <c r="B44" s="771" t="s">
        <v>292</v>
      </c>
      <c r="C44" s="337">
        <f t="shared" si="11"/>
        <v>14564963</v>
      </c>
      <c r="D44" s="772">
        <v>7954551</v>
      </c>
      <c r="E44" s="772">
        <v>6610412</v>
      </c>
      <c r="F44" s="773">
        <v>257785</v>
      </c>
      <c r="G44" s="773">
        <v>0</v>
      </c>
      <c r="H44" s="337">
        <f t="shared" si="12"/>
        <v>14307178</v>
      </c>
      <c r="I44" s="337">
        <f t="shared" si="13"/>
        <v>7760814</v>
      </c>
      <c r="J44" s="772">
        <v>1910180</v>
      </c>
      <c r="K44" s="772">
        <v>2658687</v>
      </c>
      <c r="L44" s="772">
        <v>0</v>
      </c>
      <c r="M44" s="772">
        <v>492771</v>
      </c>
      <c r="N44" s="772">
        <v>2364602</v>
      </c>
      <c r="O44" s="772">
        <v>0</v>
      </c>
      <c r="P44" s="772">
        <v>0</v>
      </c>
      <c r="Q44" s="772">
        <v>334574</v>
      </c>
      <c r="R44" s="338">
        <v>6546364</v>
      </c>
      <c r="S44" s="749">
        <f t="shared" si="14"/>
        <v>9738311</v>
      </c>
      <c r="T44" s="750">
        <f t="shared" si="4"/>
        <v>58.870976678477284</v>
      </c>
      <c r="U44" s="340">
        <f t="shared" si="2"/>
        <v>0</v>
      </c>
      <c r="V44" s="340">
        <f t="shared" si="3"/>
        <v>0</v>
      </c>
    </row>
    <row r="45" spans="1:22" ht="19.5" customHeight="1">
      <c r="A45" s="205">
        <v>3.2</v>
      </c>
      <c r="B45" s="774" t="s">
        <v>293</v>
      </c>
      <c r="C45" s="337">
        <f t="shared" si="11"/>
        <v>9926408</v>
      </c>
      <c r="D45" s="772">
        <v>8916158</v>
      </c>
      <c r="E45" s="772">
        <v>1010250</v>
      </c>
      <c r="F45" s="773">
        <v>0</v>
      </c>
      <c r="G45" s="773">
        <v>0</v>
      </c>
      <c r="H45" s="337">
        <f t="shared" si="12"/>
        <v>9926408</v>
      </c>
      <c r="I45" s="337">
        <f t="shared" si="13"/>
        <v>9464144</v>
      </c>
      <c r="J45" s="772">
        <v>458671</v>
      </c>
      <c r="K45" s="772">
        <v>334750</v>
      </c>
      <c r="L45" s="772">
        <v>0</v>
      </c>
      <c r="M45" s="772">
        <v>8670723</v>
      </c>
      <c r="N45" s="772">
        <v>0</v>
      </c>
      <c r="O45" s="772">
        <v>0</v>
      </c>
      <c r="P45" s="772">
        <v>0</v>
      </c>
      <c r="Q45" s="772">
        <v>0</v>
      </c>
      <c r="R45" s="338">
        <v>462264</v>
      </c>
      <c r="S45" s="749">
        <f t="shared" si="14"/>
        <v>9132987</v>
      </c>
      <c r="T45" s="750">
        <f t="shared" si="4"/>
        <v>8.383441756592038</v>
      </c>
      <c r="U45" s="340">
        <f t="shared" si="2"/>
        <v>0</v>
      </c>
      <c r="V45" s="340">
        <f t="shared" si="3"/>
        <v>0</v>
      </c>
    </row>
    <row r="46" spans="1:22" ht="18.75" customHeight="1">
      <c r="A46" s="205">
        <v>3.3</v>
      </c>
      <c r="B46" s="774" t="s">
        <v>294</v>
      </c>
      <c r="C46" s="337">
        <f t="shared" si="11"/>
        <v>5498654</v>
      </c>
      <c r="D46" s="772">
        <v>3459885</v>
      </c>
      <c r="E46" s="772">
        <v>2038769</v>
      </c>
      <c r="F46" s="773">
        <v>0</v>
      </c>
      <c r="G46" s="773">
        <v>0</v>
      </c>
      <c r="H46" s="337">
        <f t="shared" si="12"/>
        <v>5498654</v>
      </c>
      <c r="I46" s="337">
        <f t="shared" si="13"/>
        <v>4828460</v>
      </c>
      <c r="J46" s="772">
        <v>298971</v>
      </c>
      <c r="K46" s="772">
        <v>3150</v>
      </c>
      <c r="L46" s="772">
        <v>0</v>
      </c>
      <c r="M46" s="772">
        <v>4215915</v>
      </c>
      <c r="N46" s="772">
        <v>310424</v>
      </c>
      <c r="O46" s="772">
        <v>0</v>
      </c>
      <c r="P46" s="772">
        <v>0</v>
      </c>
      <c r="Q46" s="772">
        <v>0</v>
      </c>
      <c r="R46" s="338">
        <v>670194</v>
      </c>
      <c r="S46" s="749">
        <f t="shared" si="14"/>
        <v>5196533</v>
      </c>
      <c r="T46" s="750">
        <f t="shared" si="4"/>
        <v>6.257088181324895</v>
      </c>
      <c r="U46" s="340">
        <f t="shared" si="2"/>
        <v>0</v>
      </c>
      <c r="V46" s="340">
        <f t="shared" si="3"/>
        <v>0</v>
      </c>
    </row>
    <row r="47" spans="1:22" ht="19.5" customHeight="1">
      <c r="A47" s="205">
        <v>3.4</v>
      </c>
      <c r="B47" s="775" t="s">
        <v>295</v>
      </c>
      <c r="C47" s="337">
        <f t="shared" si="11"/>
        <v>18056741</v>
      </c>
      <c r="D47" s="772">
        <v>14427558</v>
      </c>
      <c r="E47" s="772">
        <v>3629183</v>
      </c>
      <c r="F47" s="773">
        <v>0</v>
      </c>
      <c r="G47" s="773">
        <v>0</v>
      </c>
      <c r="H47" s="337">
        <f t="shared" si="12"/>
        <v>18056741</v>
      </c>
      <c r="I47" s="337">
        <f t="shared" si="13"/>
        <v>17307927</v>
      </c>
      <c r="J47" s="772">
        <v>2368510</v>
      </c>
      <c r="K47" s="772">
        <v>262890</v>
      </c>
      <c r="L47" s="772">
        <v>0</v>
      </c>
      <c r="M47" s="772">
        <v>12969999</v>
      </c>
      <c r="N47" s="772">
        <v>55185</v>
      </c>
      <c r="O47" s="772">
        <v>0</v>
      </c>
      <c r="P47" s="772">
        <v>0</v>
      </c>
      <c r="Q47" s="772">
        <v>1651343</v>
      </c>
      <c r="R47" s="338">
        <v>748814</v>
      </c>
      <c r="S47" s="749">
        <f t="shared" si="14"/>
        <v>15425341</v>
      </c>
      <c r="T47" s="750">
        <f t="shared" si="4"/>
        <v>15.203438285821289</v>
      </c>
      <c r="U47" s="340">
        <f t="shared" si="2"/>
        <v>0</v>
      </c>
      <c r="V47" s="340">
        <f t="shared" si="3"/>
        <v>0</v>
      </c>
    </row>
    <row r="48" spans="1:22" ht="18.75" customHeight="1" thickBot="1">
      <c r="A48" s="330">
        <v>3.5</v>
      </c>
      <c r="B48" s="776" t="s">
        <v>296</v>
      </c>
      <c r="C48" s="753">
        <f t="shared" si="11"/>
        <v>10107652</v>
      </c>
      <c r="D48" s="754">
        <v>6478527</v>
      </c>
      <c r="E48" s="754">
        <v>3629125</v>
      </c>
      <c r="F48" s="755">
        <v>0</v>
      </c>
      <c r="G48" s="755">
        <v>0</v>
      </c>
      <c r="H48" s="753">
        <f t="shared" si="12"/>
        <v>10107652</v>
      </c>
      <c r="I48" s="753">
        <f t="shared" si="13"/>
        <v>9415734</v>
      </c>
      <c r="J48" s="754">
        <v>1278741</v>
      </c>
      <c r="K48" s="754">
        <v>25303</v>
      </c>
      <c r="L48" s="754">
        <v>0</v>
      </c>
      <c r="M48" s="754">
        <v>4580519</v>
      </c>
      <c r="N48" s="754">
        <v>0</v>
      </c>
      <c r="O48" s="754">
        <v>13420</v>
      </c>
      <c r="P48" s="754">
        <v>0</v>
      </c>
      <c r="Q48" s="754">
        <v>3517751</v>
      </c>
      <c r="R48" s="753">
        <v>691918</v>
      </c>
      <c r="S48" s="758">
        <f t="shared" si="14"/>
        <v>8803608</v>
      </c>
      <c r="T48" s="759">
        <f t="shared" si="4"/>
        <v>13.849626593104691</v>
      </c>
      <c r="U48" s="340">
        <f t="shared" si="2"/>
        <v>0</v>
      </c>
      <c r="V48" s="340">
        <f t="shared" si="3"/>
        <v>0</v>
      </c>
    </row>
    <row r="49" spans="1:22" ht="19.5" customHeight="1" thickTop="1">
      <c r="A49" s="203" t="s">
        <v>62</v>
      </c>
      <c r="B49" s="241" t="s">
        <v>297</v>
      </c>
      <c r="C49" s="338">
        <f>SUM(C50:C54)</f>
        <v>48194797</v>
      </c>
      <c r="D49" s="338">
        <f aca="true" t="shared" si="17" ref="D49:R49">SUM(D50:D54)</f>
        <v>32284098</v>
      </c>
      <c r="E49" s="338">
        <f t="shared" si="17"/>
        <v>15910699</v>
      </c>
      <c r="F49" s="338">
        <f t="shared" si="17"/>
        <v>850</v>
      </c>
      <c r="G49" s="338">
        <f t="shared" si="17"/>
        <v>0</v>
      </c>
      <c r="H49" s="338">
        <f t="shared" si="17"/>
        <v>48193947</v>
      </c>
      <c r="I49" s="338">
        <f t="shared" si="17"/>
        <v>47148771</v>
      </c>
      <c r="J49" s="338">
        <f t="shared" si="17"/>
        <v>1848011</v>
      </c>
      <c r="K49" s="338">
        <f t="shared" si="17"/>
        <v>272157</v>
      </c>
      <c r="L49" s="338">
        <f t="shared" si="17"/>
        <v>0</v>
      </c>
      <c r="M49" s="338">
        <f t="shared" si="17"/>
        <v>40926299</v>
      </c>
      <c r="N49" s="338">
        <f t="shared" si="17"/>
        <v>3793582</v>
      </c>
      <c r="O49" s="338">
        <f t="shared" si="17"/>
        <v>0</v>
      </c>
      <c r="P49" s="338">
        <f t="shared" si="17"/>
        <v>0</v>
      </c>
      <c r="Q49" s="338">
        <f t="shared" si="17"/>
        <v>308722</v>
      </c>
      <c r="R49" s="338">
        <f t="shared" si="17"/>
        <v>1045176</v>
      </c>
      <c r="S49" s="344">
        <f t="shared" si="14"/>
        <v>46073779</v>
      </c>
      <c r="T49" s="343">
        <f t="shared" si="4"/>
        <v>4.496761962257723</v>
      </c>
      <c r="U49" s="340">
        <f t="shared" si="2"/>
        <v>0</v>
      </c>
      <c r="V49" s="340">
        <f t="shared" si="3"/>
        <v>0</v>
      </c>
    </row>
    <row r="50" spans="1:22" ht="19.5" customHeight="1">
      <c r="A50" s="585">
        <v>4.1</v>
      </c>
      <c r="B50" s="744" t="s">
        <v>298</v>
      </c>
      <c r="C50" s="337">
        <f t="shared" si="11"/>
        <v>2018361</v>
      </c>
      <c r="D50" s="745">
        <v>1600651</v>
      </c>
      <c r="E50" s="745">
        <v>417710</v>
      </c>
      <c r="F50" s="746">
        <v>0</v>
      </c>
      <c r="G50" s="746">
        <v>0</v>
      </c>
      <c r="H50" s="337">
        <f t="shared" si="12"/>
        <v>2018361</v>
      </c>
      <c r="I50" s="337">
        <f t="shared" si="13"/>
        <v>1626805</v>
      </c>
      <c r="J50" s="745">
        <v>152781</v>
      </c>
      <c r="K50" s="745">
        <v>0</v>
      </c>
      <c r="L50" s="745">
        <v>0</v>
      </c>
      <c r="M50" s="745">
        <v>1175958</v>
      </c>
      <c r="N50" s="745">
        <v>18066</v>
      </c>
      <c r="O50" s="745">
        <v>0</v>
      </c>
      <c r="P50" s="745">
        <v>0</v>
      </c>
      <c r="Q50" s="747">
        <v>280000</v>
      </c>
      <c r="R50" s="748">
        <v>391556</v>
      </c>
      <c r="S50" s="749">
        <f t="shared" si="14"/>
        <v>1865580</v>
      </c>
      <c r="T50" s="750">
        <f t="shared" si="4"/>
        <v>9.391475929813346</v>
      </c>
      <c r="U50" s="340">
        <f t="shared" si="2"/>
        <v>0</v>
      </c>
      <c r="V50" s="340">
        <f t="shared" si="3"/>
        <v>0</v>
      </c>
    </row>
    <row r="51" spans="1:22" ht="19.5" customHeight="1">
      <c r="A51" s="585">
        <v>4.2</v>
      </c>
      <c r="B51" s="744" t="s">
        <v>299</v>
      </c>
      <c r="C51" s="337">
        <f t="shared" si="11"/>
        <v>14451107</v>
      </c>
      <c r="D51" s="745">
        <v>1394421</v>
      </c>
      <c r="E51" s="745">
        <v>13056686</v>
      </c>
      <c r="F51" s="746">
        <v>0</v>
      </c>
      <c r="G51" s="746">
        <v>0</v>
      </c>
      <c r="H51" s="337">
        <f t="shared" si="12"/>
        <v>14451107</v>
      </c>
      <c r="I51" s="337">
        <f t="shared" si="13"/>
        <v>14401537</v>
      </c>
      <c r="J51" s="745">
        <v>708248</v>
      </c>
      <c r="K51" s="745">
        <v>11150</v>
      </c>
      <c r="L51" s="745">
        <v>0</v>
      </c>
      <c r="M51" s="745">
        <v>13653417</v>
      </c>
      <c r="N51" s="745">
        <v>0</v>
      </c>
      <c r="O51" s="745">
        <v>0</v>
      </c>
      <c r="P51" s="745">
        <v>0</v>
      </c>
      <c r="Q51" s="747">
        <v>28722</v>
      </c>
      <c r="R51" s="748">
        <v>49570</v>
      </c>
      <c r="S51" s="749">
        <f t="shared" si="14"/>
        <v>13731709</v>
      </c>
      <c r="T51" s="750">
        <f t="shared" si="4"/>
        <v>4.995286267014416</v>
      </c>
      <c r="U51" s="340">
        <f t="shared" si="2"/>
        <v>0</v>
      </c>
      <c r="V51" s="340">
        <f t="shared" si="3"/>
        <v>0</v>
      </c>
    </row>
    <row r="52" spans="1:22" ht="19.5" customHeight="1">
      <c r="A52" s="585">
        <v>4.3</v>
      </c>
      <c r="B52" s="744" t="s">
        <v>300</v>
      </c>
      <c r="C52" s="337">
        <f t="shared" si="11"/>
        <v>5462919</v>
      </c>
      <c r="D52" s="745">
        <v>5176633</v>
      </c>
      <c r="E52" s="745">
        <v>286286</v>
      </c>
      <c r="F52" s="746">
        <v>650</v>
      </c>
      <c r="G52" s="746">
        <v>0</v>
      </c>
      <c r="H52" s="337">
        <f t="shared" si="12"/>
        <v>5462269</v>
      </c>
      <c r="I52" s="337">
        <f t="shared" si="13"/>
        <v>5177555</v>
      </c>
      <c r="J52" s="745">
        <v>98898</v>
      </c>
      <c r="K52" s="745">
        <v>1007</v>
      </c>
      <c r="L52" s="745">
        <v>0</v>
      </c>
      <c r="M52" s="745">
        <v>1462676</v>
      </c>
      <c r="N52" s="745">
        <v>3614974</v>
      </c>
      <c r="O52" s="745">
        <v>0</v>
      </c>
      <c r="P52" s="745">
        <v>0</v>
      </c>
      <c r="Q52" s="747">
        <v>0</v>
      </c>
      <c r="R52" s="748">
        <v>284714</v>
      </c>
      <c r="S52" s="749">
        <f t="shared" si="14"/>
        <v>5362364</v>
      </c>
      <c r="T52" s="750">
        <f t="shared" si="4"/>
        <v>1.9295787297286073</v>
      </c>
      <c r="U52" s="340">
        <f t="shared" si="2"/>
        <v>0</v>
      </c>
      <c r="V52" s="340">
        <f t="shared" si="3"/>
        <v>0</v>
      </c>
    </row>
    <row r="53" spans="1:22" ht="19.5" customHeight="1">
      <c r="A53" s="585">
        <v>4.4</v>
      </c>
      <c r="B53" s="744" t="s">
        <v>301</v>
      </c>
      <c r="C53" s="337">
        <f t="shared" si="11"/>
        <v>1107156</v>
      </c>
      <c r="D53" s="745">
        <v>855954</v>
      </c>
      <c r="E53" s="745">
        <v>251202</v>
      </c>
      <c r="F53" s="746">
        <v>200</v>
      </c>
      <c r="G53" s="746">
        <v>0</v>
      </c>
      <c r="H53" s="337">
        <f t="shared" si="12"/>
        <v>1106956</v>
      </c>
      <c r="I53" s="337">
        <f t="shared" si="13"/>
        <v>916673</v>
      </c>
      <c r="J53" s="745">
        <v>152587</v>
      </c>
      <c r="K53" s="745">
        <v>108000</v>
      </c>
      <c r="L53" s="745">
        <v>0</v>
      </c>
      <c r="M53" s="745">
        <v>656086</v>
      </c>
      <c r="N53" s="745">
        <v>0</v>
      </c>
      <c r="O53" s="745">
        <v>0</v>
      </c>
      <c r="P53" s="745">
        <v>0</v>
      </c>
      <c r="Q53" s="747">
        <v>0</v>
      </c>
      <c r="R53" s="748">
        <v>190283</v>
      </c>
      <c r="S53" s="749">
        <f t="shared" si="14"/>
        <v>846369</v>
      </c>
      <c r="T53" s="750">
        <f t="shared" si="4"/>
        <v>28.42747631925452</v>
      </c>
      <c r="U53" s="340">
        <f t="shared" si="2"/>
        <v>0</v>
      </c>
      <c r="V53" s="340">
        <f t="shared" si="3"/>
        <v>0</v>
      </c>
    </row>
    <row r="54" spans="1:22" ht="18.75" customHeight="1" thickBot="1">
      <c r="A54" s="586">
        <v>4.5</v>
      </c>
      <c r="B54" s="752" t="s">
        <v>302</v>
      </c>
      <c r="C54" s="753">
        <f t="shared" si="11"/>
        <v>25155254</v>
      </c>
      <c r="D54" s="754">
        <v>23256439</v>
      </c>
      <c r="E54" s="754">
        <v>1898815</v>
      </c>
      <c r="F54" s="755">
        <v>0</v>
      </c>
      <c r="G54" s="755">
        <v>0</v>
      </c>
      <c r="H54" s="753">
        <f t="shared" si="12"/>
        <v>25155254</v>
      </c>
      <c r="I54" s="753">
        <f t="shared" si="13"/>
        <v>25026201</v>
      </c>
      <c r="J54" s="754">
        <v>735497</v>
      </c>
      <c r="K54" s="754">
        <v>152000</v>
      </c>
      <c r="L54" s="754">
        <v>0</v>
      </c>
      <c r="M54" s="754">
        <v>23978162</v>
      </c>
      <c r="N54" s="754">
        <v>160542</v>
      </c>
      <c r="O54" s="754">
        <v>0</v>
      </c>
      <c r="P54" s="754">
        <v>0</v>
      </c>
      <c r="Q54" s="756">
        <v>0</v>
      </c>
      <c r="R54" s="757">
        <v>129053</v>
      </c>
      <c r="S54" s="758">
        <f t="shared" si="14"/>
        <v>24267757</v>
      </c>
      <c r="T54" s="759">
        <f t="shared" si="4"/>
        <v>3.546271365757831</v>
      </c>
      <c r="U54" s="340">
        <f t="shared" si="2"/>
        <v>0</v>
      </c>
      <c r="V54" s="340">
        <f t="shared" si="3"/>
        <v>0</v>
      </c>
    </row>
    <row r="55" spans="1:22" ht="19.5" customHeight="1" thickTop="1">
      <c r="A55" s="203" t="s">
        <v>63</v>
      </c>
      <c r="B55" s="241" t="s">
        <v>303</v>
      </c>
      <c r="C55" s="338">
        <f>SUM(C56:C58)</f>
        <v>42328188</v>
      </c>
      <c r="D55" s="338">
        <f aca="true" t="shared" si="18" ref="D55:R55">SUM(D56:D58)</f>
        <v>23012603</v>
      </c>
      <c r="E55" s="338">
        <f t="shared" si="18"/>
        <v>19315585</v>
      </c>
      <c r="F55" s="338">
        <f t="shared" si="18"/>
        <v>150200</v>
      </c>
      <c r="G55" s="338">
        <f t="shared" si="18"/>
        <v>0</v>
      </c>
      <c r="H55" s="338">
        <f t="shared" si="18"/>
        <v>42177988</v>
      </c>
      <c r="I55" s="338">
        <f t="shared" si="18"/>
        <v>40845086</v>
      </c>
      <c r="J55" s="338">
        <f t="shared" si="18"/>
        <v>3944045</v>
      </c>
      <c r="K55" s="338">
        <f t="shared" si="18"/>
        <v>397681</v>
      </c>
      <c r="L55" s="338">
        <f t="shared" si="18"/>
        <v>8790</v>
      </c>
      <c r="M55" s="338">
        <f t="shared" si="18"/>
        <v>34156174</v>
      </c>
      <c r="N55" s="338">
        <f t="shared" si="18"/>
        <v>2200354</v>
      </c>
      <c r="O55" s="338">
        <f t="shared" si="18"/>
        <v>0</v>
      </c>
      <c r="P55" s="338">
        <f t="shared" si="18"/>
        <v>0</v>
      </c>
      <c r="Q55" s="338">
        <f t="shared" si="18"/>
        <v>138042</v>
      </c>
      <c r="R55" s="338">
        <f t="shared" si="18"/>
        <v>1332902</v>
      </c>
      <c r="S55" s="344">
        <f t="shared" si="14"/>
        <v>37836262</v>
      </c>
      <c r="T55" s="343">
        <f t="shared" si="4"/>
        <v>10.651259248174922</v>
      </c>
      <c r="U55" s="340">
        <f t="shared" si="2"/>
        <v>0</v>
      </c>
      <c r="V55" s="340">
        <f t="shared" si="3"/>
        <v>0</v>
      </c>
    </row>
    <row r="56" spans="1:22" ht="18.75" customHeight="1">
      <c r="A56" s="585">
        <v>5.1</v>
      </c>
      <c r="B56" s="744" t="s">
        <v>310</v>
      </c>
      <c r="C56" s="337">
        <f t="shared" si="11"/>
        <v>11090719</v>
      </c>
      <c r="D56" s="745">
        <v>7519101</v>
      </c>
      <c r="E56" s="745">
        <v>3571618</v>
      </c>
      <c r="F56" s="746">
        <v>0</v>
      </c>
      <c r="G56" s="746">
        <v>0</v>
      </c>
      <c r="H56" s="337">
        <f t="shared" si="12"/>
        <v>11090719</v>
      </c>
      <c r="I56" s="337">
        <f t="shared" si="13"/>
        <v>10700759</v>
      </c>
      <c r="J56" s="745">
        <v>888271</v>
      </c>
      <c r="K56" s="745">
        <v>44326</v>
      </c>
      <c r="L56" s="745">
        <v>0</v>
      </c>
      <c r="M56" s="745">
        <v>9768162</v>
      </c>
      <c r="N56" s="745">
        <v>0</v>
      </c>
      <c r="O56" s="745">
        <v>0</v>
      </c>
      <c r="P56" s="745">
        <v>0</v>
      </c>
      <c r="Q56" s="747">
        <v>0</v>
      </c>
      <c r="R56" s="341">
        <v>389960</v>
      </c>
      <c r="S56" s="749">
        <f t="shared" si="14"/>
        <v>10158122</v>
      </c>
      <c r="T56" s="750">
        <f t="shared" si="4"/>
        <v>8.715241601086428</v>
      </c>
      <c r="U56" s="340">
        <f t="shared" si="2"/>
        <v>0</v>
      </c>
      <c r="V56" s="340">
        <f t="shared" si="3"/>
        <v>0</v>
      </c>
    </row>
    <row r="57" spans="1:22" ht="18.75" customHeight="1">
      <c r="A57" s="585">
        <v>5.2</v>
      </c>
      <c r="B57" s="744" t="s">
        <v>311</v>
      </c>
      <c r="C57" s="337">
        <f t="shared" si="11"/>
        <v>10781867</v>
      </c>
      <c r="D57" s="745">
        <v>7789769</v>
      </c>
      <c r="E57" s="745">
        <v>2992098</v>
      </c>
      <c r="F57" s="746">
        <v>0</v>
      </c>
      <c r="G57" s="746">
        <v>0</v>
      </c>
      <c r="H57" s="337">
        <f t="shared" si="12"/>
        <v>10781867</v>
      </c>
      <c r="I57" s="337">
        <f t="shared" si="13"/>
        <v>10434501</v>
      </c>
      <c r="J57" s="745">
        <v>1259728</v>
      </c>
      <c r="K57" s="745">
        <v>73781</v>
      </c>
      <c r="L57" s="745">
        <v>8790</v>
      </c>
      <c r="M57" s="745">
        <v>6891848</v>
      </c>
      <c r="N57" s="745">
        <v>2200354</v>
      </c>
      <c r="O57" s="745">
        <v>0</v>
      </c>
      <c r="P57" s="745">
        <v>0</v>
      </c>
      <c r="Q57" s="747">
        <v>0</v>
      </c>
      <c r="R57" s="341">
        <v>347366</v>
      </c>
      <c r="S57" s="749">
        <f t="shared" si="14"/>
        <v>9448358</v>
      </c>
      <c r="T57" s="750">
        <f t="shared" si="4"/>
        <v>12.864045918439224</v>
      </c>
      <c r="U57" s="340">
        <f t="shared" si="2"/>
        <v>0</v>
      </c>
      <c r="V57" s="340">
        <f t="shared" si="3"/>
        <v>0</v>
      </c>
    </row>
    <row r="58" spans="1:22" ht="18.75" customHeight="1" thickBot="1">
      <c r="A58" s="586">
        <v>5.3</v>
      </c>
      <c r="B58" s="770" t="s">
        <v>309</v>
      </c>
      <c r="C58" s="753">
        <f t="shared" si="11"/>
        <v>20455602</v>
      </c>
      <c r="D58" s="754">
        <v>7703733</v>
      </c>
      <c r="E58" s="754">
        <v>12751869</v>
      </c>
      <c r="F58" s="755">
        <v>150200</v>
      </c>
      <c r="G58" s="755">
        <v>0</v>
      </c>
      <c r="H58" s="753">
        <f t="shared" si="12"/>
        <v>20305402</v>
      </c>
      <c r="I58" s="753">
        <f t="shared" si="13"/>
        <v>19709826</v>
      </c>
      <c r="J58" s="754">
        <v>1796046</v>
      </c>
      <c r="K58" s="754">
        <v>279574</v>
      </c>
      <c r="L58" s="754">
        <v>0</v>
      </c>
      <c r="M58" s="754">
        <v>17496164</v>
      </c>
      <c r="N58" s="754">
        <v>0</v>
      </c>
      <c r="O58" s="754">
        <v>0</v>
      </c>
      <c r="P58" s="754">
        <v>0</v>
      </c>
      <c r="Q58" s="756">
        <v>138042</v>
      </c>
      <c r="R58" s="777">
        <v>595576</v>
      </c>
      <c r="S58" s="758">
        <f t="shared" si="14"/>
        <v>18229782</v>
      </c>
      <c r="T58" s="759">
        <f t="shared" si="4"/>
        <v>10.530889516731401</v>
      </c>
      <c r="U58" s="340">
        <f t="shared" si="2"/>
        <v>0</v>
      </c>
      <c r="V58" s="340">
        <f t="shared" si="3"/>
        <v>0</v>
      </c>
    </row>
    <row r="59" spans="1:22" ht="21" customHeight="1" thickTop="1">
      <c r="A59" s="203" t="s">
        <v>64</v>
      </c>
      <c r="B59" s="241" t="s">
        <v>304</v>
      </c>
      <c r="C59" s="338">
        <f>SUM(C60:C61)</f>
        <v>10311631</v>
      </c>
      <c r="D59" s="338">
        <f aca="true" t="shared" si="19" ref="D59:R59">SUM(D60:D61)</f>
        <v>4132519</v>
      </c>
      <c r="E59" s="338">
        <f t="shared" si="19"/>
        <v>6179112</v>
      </c>
      <c r="F59" s="338">
        <f t="shared" si="19"/>
        <v>108483</v>
      </c>
      <c r="G59" s="338">
        <f t="shared" si="19"/>
        <v>0</v>
      </c>
      <c r="H59" s="338">
        <f t="shared" si="19"/>
        <v>10203148</v>
      </c>
      <c r="I59" s="338">
        <f t="shared" si="19"/>
        <v>8636904</v>
      </c>
      <c r="J59" s="338">
        <f t="shared" si="19"/>
        <v>1591303</v>
      </c>
      <c r="K59" s="338">
        <f t="shared" si="19"/>
        <v>0</v>
      </c>
      <c r="L59" s="338">
        <f t="shared" si="19"/>
        <v>0</v>
      </c>
      <c r="M59" s="338">
        <f t="shared" si="19"/>
        <v>6671414</v>
      </c>
      <c r="N59" s="338">
        <f t="shared" si="19"/>
        <v>333090</v>
      </c>
      <c r="O59" s="338">
        <f t="shared" si="19"/>
        <v>0</v>
      </c>
      <c r="P59" s="338">
        <f t="shared" si="19"/>
        <v>0</v>
      </c>
      <c r="Q59" s="338">
        <f t="shared" si="19"/>
        <v>41097</v>
      </c>
      <c r="R59" s="338">
        <f t="shared" si="19"/>
        <v>1566244</v>
      </c>
      <c r="S59" s="344">
        <f t="shared" si="14"/>
        <v>8611845</v>
      </c>
      <c r="T59" s="343">
        <f t="shared" si="4"/>
        <v>18.424460894783593</v>
      </c>
      <c r="U59" s="340">
        <f t="shared" si="2"/>
        <v>0</v>
      </c>
      <c r="V59" s="340">
        <f t="shared" si="3"/>
        <v>0</v>
      </c>
    </row>
    <row r="60" spans="1:22" ht="19.5" customHeight="1">
      <c r="A60" s="585">
        <v>6.1</v>
      </c>
      <c r="B60" s="778" t="s">
        <v>312</v>
      </c>
      <c r="C60" s="337">
        <f t="shared" si="11"/>
        <v>2408712</v>
      </c>
      <c r="D60" s="745">
        <v>1023657</v>
      </c>
      <c r="E60" s="745">
        <v>1385055</v>
      </c>
      <c r="F60" s="746">
        <v>108083</v>
      </c>
      <c r="G60" s="746">
        <v>0</v>
      </c>
      <c r="H60" s="337">
        <f t="shared" si="12"/>
        <v>2300629</v>
      </c>
      <c r="I60" s="337">
        <f t="shared" si="13"/>
        <v>2184291</v>
      </c>
      <c r="J60" s="745">
        <v>203146</v>
      </c>
      <c r="K60" s="745">
        <v>0</v>
      </c>
      <c r="L60" s="745">
        <v>0</v>
      </c>
      <c r="M60" s="745">
        <v>1858358</v>
      </c>
      <c r="N60" s="745">
        <v>81690</v>
      </c>
      <c r="O60" s="745">
        <v>0</v>
      </c>
      <c r="P60" s="745">
        <v>0</v>
      </c>
      <c r="Q60" s="747">
        <v>41097</v>
      </c>
      <c r="R60" s="341">
        <v>116338</v>
      </c>
      <c r="S60" s="749">
        <f t="shared" si="14"/>
        <v>2097483</v>
      </c>
      <c r="T60" s="750">
        <f t="shared" si="4"/>
        <v>9.300317585889426</v>
      </c>
      <c r="U60" s="340">
        <f t="shared" si="2"/>
        <v>0</v>
      </c>
      <c r="V60" s="340">
        <f t="shared" si="3"/>
        <v>0</v>
      </c>
    </row>
    <row r="61" spans="1:22" ht="17.25" customHeight="1" thickBot="1">
      <c r="A61" s="586">
        <v>6.3</v>
      </c>
      <c r="B61" s="752" t="s">
        <v>313</v>
      </c>
      <c r="C61" s="753">
        <f t="shared" si="11"/>
        <v>7902919</v>
      </c>
      <c r="D61" s="754">
        <v>3108862</v>
      </c>
      <c r="E61" s="754">
        <v>4794057</v>
      </c>
      <c r="F61" s="755">
        <v>400</v>
      </c>
      <c r="G61" s="755">
        <v>0</v>
      </c>
      <c r="H61" s="753">
        <f t="shared" si="12"/>
        <v>7902519</v>
      </c>
      <c r="I61" s="753">
        <f t="shared" si="13"/>
        <v>6452613</v>
      </c>
      <c r="J61" s="754">
        <v>1388157</v>
      </c>
      <c r="K61" s="754">
        <v>0</v>
      </c>
      <c r="L61" s="754">
        <v>0</v>
      </c>
      <c r="M61" s="754">
        <v>4813056</v>
      </c>
      <c r="N61" s="754">
        <v>251400</v>
      </c>
      <c r="O61" s="754">
        <v>0</v>
      </c>
      <c r="P61" s="754">
        <v>0</v>
      </c>
      <c r="Q61" s="756">
        <v>0</v>
      </c>
      <c r="R61" s="777">
        <v>1449906</v>
      </c>
      <c r="S61" s="758">
        <f t="shared" si="14"/>
        <v>6514362</v>
      </c>
      <c r="T61" s="759">
        <f t="shared" si="4"/>
        <v>21.513098647013233</v>
      </c>
      <c r="U61" s="340">
        <f t="shared" si="2"/>
        <v>0</v>
      </c>
      <c r="V61" s="340">
        <f t="shared" si="3"/>
        <v>0</v>
      </c>
    </row>
    <row r="62" spans="1:22" ht="18" customHeight="1" thickTop="1">
      <c r="A62" s="203" t="s">
        <v>65</v>
      </c>
      <c r="B62" s="241" t="s">
        <v>305</v>
      </c>
      <c r="C62" s="338">
        <f>SUM(C63:C67)</f>
        <v>101330122</v>
      </c>
      <c r="D62" s="338">
        <f aca="true" t="shared" si="20" ref="D62:R62">SUM(D63:D67)</f>
        <v>90589941</v>
      </c>
      <c r="E62" s="338">
        <f t="shared" si="20"/>
        <v>10740181</v>
      </c>
      <c r="F62" s="338">
        <f t="shared" si="20"/>
        <v>1427187</v>
      </c>
      <c r="G62" s="338">
        <f t="shared" si="20"/>
        <v>21948993</v>
      </c>
      <c r="H62" s="338">
        <f t="shared" si="20"/>
        <v>99902935</v>
      </c>
      <c r="I62" s="338">
        <f t="shared" si="20"/>
        <v>99006880</v>
      </c>
      <c r="J62" s="338">
        <f t="shared" si="20"/>
        <v>11300127</v>
      </c>
      <c r="K62" s="338">
        <f t="shared" si="20"/>
        <v>696804</v>
      </c>
      <c r="L62" s="338">
        <f t="shared" si="20"/>
        <v>0</v>
      </c>
      <c r="M62" s="338">
        <f t="shared" si="20"/>
        <v>86889949</v>
      </c>
      <c r="N62" s="338">
        <f t="shared" si="20"/>
        <v>120000</v>
      </c>
      <c r="O62" s="338">
        <f t="shared" si="20"/>
        <v>0</v>
      </c>
      <c r="P62" s="338">
        <f t="shared" si="20"/>
        <v>0</v>
      </c>
      <c r="Q62" s="338">
        <f t="shared" si="20"/>
        <v>0</v>
      </c>
      <c r="R62" s="338">
        <f t="shared" si="20"/>
        <v>896055</v>
      </c>
      <c r="S62" s="344">
        <f t="shared" si="14"/>
        <v>87906004</v>
      </c>
      <c r="T62" s="343">
        <f t="shared" si="4"/>
        <v>12.117270032143221</v>
      </c>
      <c r="U62" s="340">
        <f t="shared" si="2"/>
        <v>0</v>
      </c>
      <c r="V62" s="340">
        <f t="shared" si="3"/>
        <v>21948993</v>
      </c>
    </row>
    <row r="63" spans="1:22" ht="18" customHeight="1">
      <c r="A63" s="205">
        <v>7.1</v>
      </c>
      <c r="B63" s="744" t="s">
        <v>314</v>
      </c>
      <c r="C63" s="337">
        <f t="shared" si="11"/>
        <v>6668223</v>
      </c>
      <c r="D63" s="745">
        <v>6236131</v>
      </c>
      <c r="E63" s="745">
        <v>432092</v>
      </c>
      <c r="F63" s="746">
        <v>0</v>
      </c>
      <c r="G63" s="746">
        <v>0</v>
      </c>
      <c r="H63" s="337">
        <f t="shared" si="12"/>
        <v>6668223</v>
      </c>
      <c r="I63" s="337">
        <f t="shared" si="13"/>
        <v>6334997</v>
      </c>
      <c r="J63" s="745">
        <v>265670</v>
      </c>
      <c r="K63" s="745">
        <v>170804</v>
      </c>
      <c r="L63" s="745">
        <v>0</v>
      </c>
      <c r="M63" s="745">
        <v>5898523</v>
      </c>
      <c r="N63" s="745">
        <v>0</v>
      </c>
      <c r="O63" s="745">
        <v>0</v>
      </c>
      <c r="P63" s="745">
        <v>0</v>
      </c>
      <c r="Q63" s="747">
        <v>0</v>
      </c>
      <c r="R63" s="341">
        <v>333226</v>
      </c>
      <c r="S63" s="749">
        <f t="shared" si="14"/>
        <v>6231749</v>
      </c>
      <c r="T63" s="750">
        <f t="shared" si="4"/>
        <v>6.889884872873657</v>
      </c>
      <c r="U63" s="340">
        <f t="shared" si="2"/>
        <v>0</v>
      </c>
      <c r="V63" s="340">
        <f t="shared" si="3"/>
        <v>0</v>
      </c>
    </row>
    <row r="64" spans="1:22" ht="18.75" customHeight="1">
      <c r="A64" s="205">
        <v>7.2</v>
      </c>
      <c r="B64" s="778" t="s">
        <v>315</v>
      </c>
      <c r="C64" s="337">
        <f t="shared" si="11"/>
        <v>36595705</v>
      </c>
      <c r="D64" s="745">
        <f>34185561-1178599</f>
        <v>33006962</v>
      </c>
      <c r="E64" s="745">
        <v>3588743</v>
      </c>
      <c r="F64" s="746">
        <v>1426987</v>
      </c>
      <c r="G64" s="746">
        <v>1178599</v>
      </c>
      <c r="H64" s="337">
        <f t="shared" si="12"/>
        <v>35168718</v>
      </c>
      <c r="I64" s="337">
        <f t="shared" si="13"/>
        <v>35085569</v>
      </c>
      <c r="J64" s="745">
        <v>5913010</v>
      </c>
      <c r="K64" s="745">
        <v>28400</v>
      </c>
      <c r="L64" s="745">
        <v>0</v>
      </c>
      <c r="M64" s="745">
        <v>29144159</v>
      </c>
      <c r="N64" s="745">
        <v>0</v>
      </c>
      <c r="O64" s="745">
        <v>0</v>
      </c>
      <c r="P64" s="745">
        <v>0</v>
      </c>
      <c r="Q64" s="747">
        <v>0</v>
      </c>
      <c r="R64" s="341">
        <v>83149</v>
      </c>
      <c r="S64" s="749">
        <f t="shared" si="14"/>
        <v>29227308</v>
      </c>
      <c r="T64" s="750">
        <f t="shared" si="4"/>
        <v>16.93405627823793</v>
      </c>
      <c r="U64" s="340">
        <f t="shared" si="2"/>
        <v>0</v>
      </c>
      <c r="V64" s="340">
        <f t="shared" si="3"/>
        <v>1178599</v>
      </c>
    </row>
    <row r="65" spans="1:22" ht="18.75" customHeight="1">
      <c r="A65" s="205">
        <v>7.3</v>
      </c>
      <c r="B65" s="778" t="s">
        <v>316</v>
      </c>
      <c r="C65" s="337">
        <f t="shared" si="11"/>
        <v>18291242</v>
      </c>
      <c r="D65" s="745">
        <f>34899161-18970409</f>
        <v>15928752</v>
      </c>
      <c r="E65" s="745">
        <v>2362490</v>
      </c>
      <c r="F65" s="746">
        <v>0</v>
      </c>
      <c r="G65" s="746">
        <v>20770394</v>
      </c>
      <c r="H65" s="337">
        <f t="shared" si="12"/>
        <v>18291242</v>
      </c>
      <c r="I65" s="337">
        <f t="shared" si="13"/>
        <v>18042267</v>
      </c>
      <c r="J65" s="745">
        <v>334953</v>
      </c>
      <c r="K65" s="745">
        <v>6000</v>
      </c>
      <c r="L65" s="745">
        <v>0</v>
      </c>
      <c r="M65" s="745">
        <v>17581314</v>
      </c>
      <c r="N65" s="745">
        <v>120000</v>
      </c>
      <c r="O65" s="745">
        <v>0</v>
      </c>
      <c r="P65" s="745">
        <v>0</v>
      </c>
      <c r="Q65" s="747">
        <v>0</v>
      </c>
      <c r="R65" s="341">
        <v>248975</v>
      </c>
      <c r="S65" s="749">
        <f t="shared" si="14"/>
        <v>17950289</v>
      </c>
      <c r="T65" s="750">
        <f t="shared" si="4"/>
        <v>1.8897458950141908</v>
      </c>
      <c r="U65" s="340">
        <f t="shared" si="2"/>
        <v>0</v>
      </c>
      <c r="V65" s="340">
        <f t="shared" si="3"/>
        <v>20770394</v>
      </c>
    </row>
    <row r="66" spans="1:22" ht="18.75" customHeight="1">
      <c r="A66" s="205">
        <v>7.4</v>
      </c>
      <c r="B66" s="744" t="s">
        <v>317</v>
      </c>
      <c r="C66" s="337">
        <f t="shared" si="11"/>
        <v>7951257</v>
      </c>
      <c r="D66" s="745">
        <v>5142265</v>
      </c>
      <c r="E66" s="745">
        <v>2808992</v>
      </c>
      <c r="F66" s="746">
        <v>0</v>
      </c>
      <c r="G66" s="746">
        <v>0</v>
      </c>
      <c r="H66" s="337">
        <f t="shared" si="12"/>
        <v>7951257</v>
      </c>
      <c r="I66" s="337">
        <f t="shared" si="13"/>
        <v>7750079</v>
      </c>
      <c r="J66" s="745">
        <v>99600</v>
      </c>
      <c r="K66" s="745">
        <v>0</v>
      </c>
      <c r="L66" s="745">
        <v>0</v>
      </c>
      <c r="M66" s="745">
        <v>7650479</v>
      </c>
      <c r="N66" s="745">
        <v>0</v>
      </c>
      <c r="O66" s="745">
        <v>0</v>
      </c>
      <c r="P66" s="745">
        <v>0</v>
      </c>
      <c r="Q66" s="747">
        <v>0</v>
      </c>
      <c r="R66" s="341">
        <v>201178</v>
      </c>
      <c r="S66" s="749">
        <f t="shared" si="14"/>
        <v>7851657</v>
      </c>
      <c r="T66" s="750">
        <f t="shared" si="4"/>
        <v>1.2851481901023203</v>
      </c>
      <c r="U66" s="340">
        <f t="shared" si="2"/>
        <v>0</v>
      </c>
      <c r="V66" s="340">
        <f t="shared" si="3"/>
        <v>0</v>
      </c>
    </row>
    <row r="67" spans="1:22" ht="19.5" customHeight="1" thickBot="1">
      <c r="A67" s="330">
        <v>7.5</v>
      </c>
      <c r="B67" s="752" t="s">
        <v>318</v>
      </c>
      <c r="C67" s="753">
        <f t="shared" si="11"/>
        <v>31823695</v>
      </c>
      <c r="D67" s="754">
        <v>30275831</v>
      </c>
      <c r="E67" s="754">
        <v>1547864</v>
      </c>
      <c r="F67" s="755">
        <v>200</v>
      </c>
      <c r="G67" s="755">
        <v>0</v>
      </c>
      <c r="H67" s="753">
        <f t="shared" si="12"/>
        <v>31823495</v>
      </c>
      <c r="I67" s="753">
        <f t="shared" si="13"/>
        <v>31793968</v>
      </c>
      <c r="J67" s="754">
        <v>4686894</v>
      </c>
      <c r="K67" s="754">
        <v>491600</v>
      </c>
      <c r="L67" s="754">
        <v>0</v>
      </c>
      <c r="M67" s="754">
        <v>26615474</v>
      </c>
      <c r="N67" s="754">
        <v>0</v>
      </c>
      <c r="O67" s="754">
        <v>0</v>
      </c>
      <c r="P67" s="754">
        <v>0</v>
      </c>
      <c r="Q67" s="756">
        <v>0</v>
      </c>
      <c r="R67" s="777">
        <v>29527</v>
      </c>
      <c r="S67" s="758">
        <f t="shared" si="14"/>
        <v>26645001</v>
      </c>
      <c r="T67" s="759">
        <f t="shared" si="4"/>
        <v>16.287661860891347</v>
      </c>
      <c r="U67" s="340">
        <f t="shared" si="2"/>
        <v>0</v>
      </c>
      <c r="V67" s="340">
        <f t="shared" si="3"/>
        <v>0</v>
      </c>
    </row>
    <row r="68" spans="1:22" ht="18.75" customHeight="1" thickTop="1">
      <c r="A68" s="203" t="s">
        <v>66</v>
      </c>
      <c r="B68" s="241" t="s">
        <v>306</v>
      </c>
      <c r="C68" s="338">
        <f>SUM(C69:C72)</f>
        <v>113786949</v>
      </c>
      <c r="D68" s="338">
        <f aca="true" t="shared" si="21" ref="D68:R68">SUM(D69:D72)</f>
        <v>80716162</v>
      </c>
      <c r="E68" s="338">
        <f t="shared" si="21"/>
        <v>33070787</v>
      </c>
      <c r="F68" s="338">
        <f t="shared" si="21"/>
        <v>6230670</v>
      </c>
      <c r="G68" s="338">
        <f t="shared" si="21"/>
        <v>0</v>
      </c>
      <c r="H68" s="338">
        <f t="shared" si="21"/>
        <v>107556279</v>
      </c>
      <c r="I68" s="338">
        <f t="shared" si="21"/>
        <v>105640772</v>
      </c>
      <c r="J68" s="338">
        <f t="shared" si="21"/>
        <v>6320187</v>
      </c>
      <c r="K68" s="338">
        <f t="shared" si="21"/>
        <v>218337</v>
      </c>
      <c r="L68" s="338">
        <f t="shared" si="21"/>
        <v>0</v>
      </c>
      <c r="M68" s="338">
        <f t="shared" si="21"/>
        <v>73530731</v>
      </c>
      <c r="N68" s="338">
        <f t="shared" si="21"/>
        <v>56201</v>
      </c>
      <c r="O68" s="338">
        <f t="shared" si="21"/>
        <v>0</v>
      </c>
      <c r="P68" s="338">
        <f t="shared" si="21"/>
        <v>0</v>
      </c>
      <c r="Q68" s="338">
        <f t="shared" si="21"/>
        <v>25515316</v>
      </c>
      <c r="R68" s="338">
        <f t="shared" si="21"/>
        <v>1915507</v>
      </c>
      <c r="S68" s="344">
        <f t="shared" si="14"/>
        <v>101017755</v>
      </c>
      <c r="T68" s="343">
        <f t="shared" si="4"/>
        <v>6.189394375118728</v>
      </c>
      <c r="U68" s="340">
        <f t="shared" si="2"/>
        <v>0</v>
      </c>
      <c r="V68" s="340">
        <f t="shared" si="3"/>
        <v>0</v>
      </c>
    </row>
    <row r="69" spans="1:22" ht="18.75" customHeight="1">
      <c r="A69" s="205">
        <v>8.1</v>
      </c>
      <c r="B69" s="779" t="s">
        <v>319</v>
      </c>
      <c r="C69" s="337">
        <f t="shared" si="11"/>
        <v>625817</v>
      </c>
      <c r="D69" s="745">
        <v>0</v>
      </c>
      <c r="E69" s="745">
        <v>625817</v>
      </c>
      <c r="F69" s="746">
        <v>166119</v>
      </c>
      <c r="G69" s="746">
        <v>0</v>
      </c>
      <c r="H69" s="337">
        <f t="shared" si="12"/>
        <v>459698</v>
      </c>
      <c r="I69" s="337">
        <f t="shared" si="13"/>
        <v>459698</v>
      </c>
      <c r="J69" s="745">
        <v>177916</v>
      </c>
      <c r="K69" s="745">
        <v>122000</v>
      </c>
      <c r="L69" s="745">
        <v>0</v>
      </c>
      <c r="M69" s="745">
        <v>159782</v>
      </c>
      <c r="N69" s="745">
        <v>0</v>
      </c>
      <c r="O69" s="745">
        <v>0</v>
      </c>
      <c r="P69" s="745">
        <v>0</v>
      </c>
      <c r="Q69" s="747">
        <v>0</v>
      </c>
      <c r="R69" s="341">
        <v>0</v>
      </c>
      <c r="S69" s="749">
        <f t="shared" si="14"/>
        <v>159782</v>
      </c>
      <c r="T69" s="750">
        <f t="shared" si="4"/>
        <v>65.24196320192821</v>
      </c>
      <c r="U69" s="340">
        <f t="shared" si="2"/>
        <v>0</v>
      </c>
      <c r="V69" s="340">
        <f t="shared" si="3"/>
        <v>0</v>
      </c>
    </row>
    <row r="70" spans="1:22" ht="19.5" customHeight="1">
      <c r="A70" s="205">
        <v>8.2</v>
      </c>
      <c r="B70" s="779" t="s">
        <v>320</v>
      </c>
      <c r="C70" s="337">
        <f t="shared" si="11"/>
        <v>41874549</v>
      </c>
      <c r="D70" s="745">
        <v>26936936</v>
      </c>
      <c r="E70" s="745">
        <v>14937613</v>
      </c>
      <c r="F70" s="746">
        <v>700</v>
      </c>
      <c r="G70" s="746">
        <v>0</v>
      </c>
      <c r="H70" s="337">
        <f t="shared" si="12"/>
        <v>41873849</v>
      </c>
      <c r="I70" s="337">
        <f t="shared" si="13"/>
        <v>40763458</v>
      </c>
      <c r="J70" s="745">
        <v>1962549</v>
      </c>
      <c r="K70" s="745">
        <v>30337</v>
      </c>
      <c r="L70" s="745">
        <v>0</v>
      </c>
      <c r="M70" s="745">
        <v>38714571</v>
      </c>
      <c r="N70" s="745">
        <v>56001</v>
      </c>
      <c r="O70" s="745">
        <v>0</v>
      </c>
      <c r="P70" s="745">
        <v>0</v>
      </c>
      <c r="Q70" s="747">
        <v>0</v>
      </c>
      <c r="R70" s="341">
        <v>1110391</v>
      </c>
      <c r="S70" s="749">
        <f t="shared" si="14"/>
        <v>39880963</v>
      </c>
      <c r="T70" s="750">
        <f t="shared" si="4"/>
        <v>4.888903193639754</v>
      </c>
      <c r="U70" s="340">
        <f t="shared" si="2"/>
        <v>0</v>
      </c>
      <c r="V70" s="340">
        <f t="shared" si="3"/>
        <v>0</v>
      </c>
    </row>
    <row r="71" spans="1:22" ht="18" customHeight="1">
      <c r="A71" s="205">
        <v>8.3</v>
      </c>
      <c r="B71" s="780" t="s">
        <v>321</v>
      </c>
      <c r="C71" s="337">
        <f t="shared" si="11"/>
        <v>19566214</v>
      </c>
      <c r="D71" s="745">
        <v>17597040</v>
      </c>
      <c r="E71" s="745">
        <v>1969174</v>
      </c>
      <c r="F71" s="746">
        <v>37380</v>
      </c>
      <c r="G71" s="746">
        <v>0</v>
      </c>
      <c r="H71" s="337">
        <f t="shared" si="12"/>
        <v>19528834</v>
      </c>
      <c r="I71" s="337">
        <f t="shared" si="13"/>
        <v>18913278</v>
      </c>
      <c r="J71" s="745">
        <v>87512</v>
      </c>
      <c r="K71" s="745">
        <v>10000</v>
      </c>
      <c r="L71" s="745">
        <v>0</v>
      </c>
      <c r="M71" s="745">
        <v>18815766</v>
      </c>
      <c r="N71" s="745">
        <v>0</v>
      </c>
      <c r="O71" s="745">
        <v>0</v>
      </c>
      <c r="P71" s="745">
        <v>0</v>
      </c>
      <c r="Q71" s="747">
        <v>0</v>
      </c>
      <c r="R71" s="341">
        <v>615556</v>
      </c>
      <c r="S71" s="749">
        <f t="shared" si="14"/>
        <v>19431322</v>
      </c>
      <c r="T71" s="750">
        <f t="shared" si="4"/>
        <v>0.5155742965338954</v>
      </c>
      <c r="U71" s="340">
        <f t="shared" si="2"/>
        <v>0</v>
      </c>
      <c r="V71" s="340">
        <f t="shared" si="3"/>
        <v>0</v>
      </c>
    </row>
    <row r="72" spans="1:22" ht="18" customHeight="1" thickBot="1">
      <c r="A72" s="330">
        <v>8.4</v>
      </c>
      <c r="B72" s="776" t="s">
        <v>322</v>
      </c>
      <c r="C72" s="753">
        <f t="shared" si="11"/>
        <v>51720369</v>
      </c>
      <c r="D72" s="754">
        <v>36182186</v>
      </c>
      <c r="E72" s="754">
        <v>15538183</v>
      </c>
      <c r="F72" s="755">
        <v>6026471</v>
      </c>
      <c r="G72" s="755">
        <v>0</v>
      </c>
      <c r="H72" s="753">
        <f t="shared" si="12"/>
        <v>45693898</v>
      </c>
      <c r="I72" s="753">
        <f t="shared" si="13"/>
        <v>45504338</v>
      </c>
      <c r="J72" s="754">
        <v>4092210</v>
      </c>
      <c r="K72" s="754">
        <v>56000</v>
      </c>
      <c r="L72" s="754">
        <v>0</v>
      </c>
      <c r="M72" s="754">
        <v>15840612</v>
      </c>
      <c r="N72" s="754">
        <v>200</v>
      </c>
      <c r="O72" s="754">
        <v>0</v>
      </c>
      <c r="P72" s="754">
        <v>0</v>
      </c>
      <c r="Q72" s="756">
        <v>25515316</v>
      </c>
      <c r="R72" s="777">
        <v>189560</v>
      </c>
      <c r="S72" s="758">
        <f t="shared" si="14"/>
        <v>41545688</v>
      </c>
      <c r="T72" s="759">
        <f t="shared" si="4"/>
        <v>9.116075922256027</v>
      </c>
      <c r="U72" s="340">
        <f t="shared" si="2"/>
        <v>0</v>
      </c>
      <c r="V72" s="340">
        <f t="shared" si="3"/>
        <v>0</v>
      </c>
    </row>
    <row r="73" spans="1:22" ht="16.5" customHeight="1" thickTop="1">
      <c r="A73" s="203" t="s">
        <v>67</v>
      </c>
      <c r="B73" s="241" t="s">
        <v>307</v>
      </c>
      <c r="C73" s="338">
        <f>SUM(C74:C76)</f>
        <v>41856319</v>
      </c>
      <c r="D73" s="338">
        <f aca="true" t="shared" si="22" ref="D73:R73">SUM(D74:D76)</f>
        <v>33210336</v>
      </c>
      <c r="E73" s="338">
        <f t="shared" si="22"/>
        <v>8645983</v>
      </c>
      <c r="F73" s="338">
        <f t="shared" si="22"/>
        <v>10206</v>
      </c>
      <c r="G73" s="338">
        <f t="shared" si="22"/>
        <v>0</v>
      </c>
      <c r="H73" s="338">
        <f t="shared" si="22"/>
        <v>41846113</v>
      </c>
      <c r="I73" s="338">
        <f t="shared" si="22"/>
        <v>40870047</v>
      </c>
      <c r="J73" s="338">
        <f t="shared" si="22"/>
        <v>1878588</v>
      </c>
      <c r="K73" s="338">
        <f t="shared" si="22"/>
        <v>11194</v>
      </c>
      <c r="L73" s="338">
        <f t="shared" si="22"/>
        <v>0</v>
      </c>
      <c r="M73" s="338">
        <f t="shared" si="22"/>
        <v>38452182</v>
      </c>
      <c r="N73" s="338">
        <f t="shared" si="22"/>
        <v>528083</v>
      </c>
      <c r="O73" s="338">
        <f t="shared" si="22"/>
        <v>0</v>
      </c>
      <c r="P73" s="338">
        <f t="shared" si="22"/>
        <v>0</v>
      </c>
      <c r="Q73" s="338">
        <f t="shared" si="22"/>
        <v>0</v>
      </c>
      <c r="R73" s="338">
        <f t="shared" si="22"/>
        <v>976066</v>
      </c>
      <c r="S73" s="344">
        <f t="shared" si="14"/>
        <v>39956331</v>
      </c>
      <c r="T73" s="343">
        <f t="shared" si="4"/>
        <v>4.623880173174257</v>
      </c>
      <c r="U73" s="340">
        <f t="shared" si="2"/>
        <v>0</v>
      </c>
      <c r="V73" s="340">
        <f t="shared" si="3"/>
        <v>0</v>
      </c>
    </row>
    <row r="74" spans="1:22" ht="18.75" customHeight="1">
      <c r="A74" s="205">
        <v>9.1</v>
      </c>
      <c r="B74" s="744" t="s">
        <v>323</v>
      </c>
      <c r="C74" s="337">
        <f t="shared" si="11"/>
        <v>24220504</v>
      </c>
      <c r="D74" s="745">
        <v>22625443</v>
      </c>
      <c r="E74" s="745">
        <v>1595061</v>
      </c>
      <c r="F74" s="746">
        <v>3700</v>
      </c>
      <c r="G74" s="746">
        <v>0</v>
      </c>
      <c r="H74" s="337">
        <f t="shared" si="12"/>
        <v>24216804</v>
      </c>
      <c r="I74" s="337">
        <f t="shared" si="13"/>
        <v>24117903</v>
      </c>
      <c r="J74" s="745">
        <v>374366</v>
      </c>
      <c r="K74" s="745">
        <v>0</v>
      </c>
      <c r="L74" s="745">
        <v>0</v>
      </c>
      <c r="M74" s="745">
        <v>23731057</v>
      </c>
      <c r="N74" s="745">
        <v>12480</v>
      </c>
      <c r="O74" s="745">
        <v>0</v>
      </c>
      <c r="P74" s="745">
        <v>0</v>
      </c>
      <c r="Q74" s="747">
        <v>0</v>
      </c>
      <c r="R74" s="341">
        <v>98901</v>
      </c>
      <c r="S74" s="749">
        <f t="shared" si="14"/>
        <v>23842438</v>
      </c>
      <c r="T74" s="750">
        <f t="shared" si="4"/>
        <v>1.5522327956953803</v>
      </c>
      <c r="U74" s="340">
        <f t="shared" si="2"/>
        <v>0</v>
      </c>
      <c r="V74" s="340">
        <f t="shared" si="3"/>
        <v>0</v>
      </c>
    </row>
    <row r="75" spans="1:22" ht="18.75" customHeight="1">
      <c r="A75" s="206">
        <v>9.2</v>
      </c>
      <c r="B75" s="744" t="s">
        <v>324</v>
      </c>
      <c r="C75" s="337">
        <f t="shared" si="11"/>
        <v>13140060</v>
      </c>
      <c r="D75" s="745">
        <v>7356098</v>
      </c>
      <c r="E75" s="745">
        <v>5783962</v>
      </c>
      <c r="F75" s="746">
        <v>2906</v>
      </c>
      <c r="G75" s="746">
        <v>0</v>
      </c>
      <c r="H75" s="337">
        <f t="shared" si="12"/>
        <v>13137154</v>
      </c>
      <c r="I75" s="337">
        <f t="shared" si="13"/>
        <v>12533706</v>
      </c>
      <c r="J75" s="745">
        <v>928143</v>
      </c>
      <c r="K75" s="745">
        <v>4900</v>
      </c>
      <c r="L75" s="745">
        <v>0</v>
      </c>
      <c r="M75" s="745">
        <v>11585663</v>
      </c>
      <c r="N75" s="745">
        <v>15000</v>
      </c>
      <c r="O75" s="745">
        <v>0</v>
      </c>
      <c r="P75" s="745">
        <v>0</v>
      </c>
      <c r="Q75" s="747">
        <v>0</v>
      </c>
      <c r="R75" s="341">
        <v>603448</v>
      </c>
      <c r="S75" s="749">
        <f t="shared" si="14"/>
        <v>12204111</v>
      </c>
      <c r="T75" s="750">
        <f t="shared" si="4"/>
        <v>7.444270673015627</v>
      </c>
      <c r="U75" s="340">
        <f t="shared" si="2"/>
        <v>0</v>
      </c>
      <c r="V75" s="340">
        <f t="shared" si="3"/>
        <v>0</v>
      </c>
    </row>
    <row r="76" spans="1:22" ht="18.75" customHeight="1" thickBot="1">
      <c r="A76" s="330">
        <v>9.3</v>
      </c>
      <c r="B76" s="764" t="s">
        <v>325</v>
      </c>
      <c r="C76" s="753">
        <f t="shared" si="11"/>
        <v>4495755</v>
      </c>
      <c r="D76" s="754">
        <v>3228795</v>
      </c>
      <c r="E76" s="754">
        <v>1266960</v>
      </c>
      <c r="F76" s="755">
        <v>3600</v>
      </c>
      <c r="G76" s="755">
        <v>0</v>
      </c>
      <c r="H76" s="753">
        <f t="shared" si="12"/>
        <v>4492155</v>
      </c>
      <c r="I76" s="753">
        <f t="shared" si="13"/>
        <v>4218438</v>
      </c>
      <c r="J76" s="754">
        <v>576079</v>
      </c>
      <c r="K76" s="754">
        <v>6294</v>
      </c>
      <c r="L76" s="754">
        <v>0</v>
      </c>
      <c r="M76" s="754">
        <v>3135462</v>
      </c>
      <c r="N76" s="754">
        <v>500603</v>
      </c>
      <c r="O76" s="754">
        <v>0</v>
      </c>
      <c r="P76" s="754">
        <v>0</v>
      </c>
      <c r="Q76" s="756">
        <v>0</v>
      </c>
      <c r="R76" s="777">
        <v>273717</v>
      </c>
      <c r="S76" s="758">
        <f t="shared" si="14"/>
        <v>3909782</v>
      </c>
      <c r="T76" s="759">
        <f t="shared" si="4"/>
        <v>13.805418024396706</v>
      </c>
      <c r="U76" s="340">
        <f t="shared" si="2"/>
        <v>0</v>
      </c>
      <c r="V76" s="340">
        <f t="shared" si="3"/>
        <v>0</v>
      </c>
    </row>
    <row r="77" spans="1:22" ht="19.5" customHeight="1" thickTop="1">
      <c r="A77" s="203" t="s">
        <v>85</v>
      </c>
      <c r="B77" s="241" t="s">
        <v>308</v>
      </c>
      <c r="C77" s="338">
        <f>SUM(C78:C79)</f>
        <v>2373935</v>
      </c>
      <c r="D77" s="338">
        <f aca="true" t="shared" si="23" ref="D77:R77">SUM(D78:D79)</f>
        <v>1997404</v>
      </c>
      <c r="E77" s="338">
        <f t="shared" si="23"/>
        <v>376531</v>
      </c>
      <c r="F77" s="338">
        <f t="shared" si="23"/>
        <v>0</v>
      </c>
      <c r="G77" s="338">
        <f t="shared" si="23"/>
        <v>0</v>
      </c>
      <c r="H77" s="338">
        <f t="shared" si="23"/>
        <v>2373935</v>
      </c>
      <c r="I77" s="338">
        <f t="shared" si="23"/>
        <v>1791100</v>
      </c>
      <c r="J77" s="338">
        <f t="shared" si="23"/>
        <v>138047</v>
      </c>
      <c r="K77" s="338">
        <f t="shared" si="23"/>
        <v>52946</v>
      </c>
      <c r="L77" s="338">
        <f t="shared" si="23"/>
        <v>0</v>
      </c>
      <c r="M77" s="338">
        <f t="shared" si="23"/>
        <v>1572128</v>
      </c>
      <c r="N77" s="338">
        <f t="shared" si="23"/>
        <v>27979</v>
      </c>
      <c r="O77" s="338">
        <f t="shared" si="23"/>
        <v>0</v>
      </c>
      <c r="P77" s="338">
        <f t="shared" si="23"/>
        <v>0</v>
      </c>
      <c r="Q77" s="338">
        <f t="shared" si="23"/>
        <v>0</v>
      </c>
      <c r="R77" s="338">
        <f t="shared" si="23"/>
        <v>582835</v>
      </c>
      <c r="S77" s="344">
        <f t="shared" si="14"/>
        <v>2182942</v>
      </c>
      <c r="T77" s="343">
        <f t="shared" si="4"/>
        <v>10.663447043716152</v>
      </c>
      <c r="U77" s="340">
        <f t="shared" si="2"/>
        <v>0</v>
      </c>
      <c r="V77" s="340">
        <f t="shared" si="3"/>
        <v>0</v>
      </c>
    </row>
    <row r="78" spans="1:22" ht="18.75" customHeight="1">
      <c r="A78" s="565">
        <v>10.1</v>
      </c>
      <c r="B78" s="744" t="s">
        <v>326</v>
      </c>
      <c r="C78" s="337">
        <f t="shared" si="11"/>
        <v>264532</v>
      </c>
      <c r="D78" s="745">
        <v>210560</v>
      </c>
      <c r="E78" s="745">
        <v>53972</v>
      </c>
      <c r="F78" s="746">
        <v>0</v>
      </c>
      <c r="G78" s="746">
        <v>0</v>
      </c>
      <c r="H78" s="337">
        <f t="shared" si="12"/>
        <v>264532</v>
      </c>
      <c r="I78" s="337">
        <f t="shared" si="13"/>
        <v>145760</v>
      </c>
      <c r="J78" s="745">
        <v>61405</v>
      </c>
      <c r="K78" s="745">
        <v>0</v>
      </c>
      <c r="L78" s="745">
        <v>0</v>
      </c>
      <c r="M78" s="745">
        <v>84355</v>
      </c>
      <c r="N78" s="745">
        <v>0</v>
      </c>
      <c r="O78" s="745">
        <v>0</v>
      </c>
      <c r="P78" s="745">
        <v>0</v>
      </c>
      <c r="Q78" s="747">
        <v>0</v>
      </c>
      <c r="R78" s="341">
        <v>118772</v>
      </c>
      <c r="S78" s="749">
        <f t="shared" si="14"/>
        <v>203127</v>
      </c>
      <c r="T78" s="750">
        <f t="shared" si="4"/>
        <v>42.127469813391876</v>
      </c>
      <c r="U78" s="340">
        <f t="shared" si="2"/>
        <v>0</v>
      </c>
      <c r="V78" s="340">
        <f t="shared" si="3"/>
        <v>0</v>
      </c>
    </row>
    <row r="79" spans="1:22" ht="18.75" customHeight="1" thickBot="1">
      <c r="A79" s="566">
        <v>10.2</v>
      </c>
      <c r="B79" s="752" t="s">
        <v>327</v>
      </c>
      <c r="C79" s="753">
        <f t="shared" si="11"/>
        <v>2109403</v>
      </c>
      <c r="D79" s="754">
        <v>1786844</v>
      </c>
      <c r="E79" s="754">
        <v>322559</v>
      </c>
      <c r="F79" s="755">
        <v>0</v>
      </c>
      <c r="G79" s="755">
        <v>0</v>
      </c>
      <c r="H79" s="753">
        <f t="shared" si="12"/>
        <v>2109403</v>
      </c>
      <c r="I79" s="753">
        <f t="shared" si="13"/>
        <v>1645340</v>
      </c>
      <c r="J79" s="754">
        <v>76642</v>
      </c>
      <c r="K79" s="754">
        <v>52946</v>
      </c>
      <c r="L79" s="754">
        <v>0</v>
      </c>
      <c r="M79" s="754">
        <v>1487773</v>
      </c>
      <c r="N79" s="754">
        <v>27979</v>
      </c>
      <c r="O79" s="754">
        <v>0</v>
      </c>
      <c r="P79" s="754">
        <v>0</v>
      </c>
      <c r="Q79" s="756">
        <v>0</v>
      </c>
      <c r="R79" s="777">
        <v>464063</v>
      </c>
      <c r="S79" s="758">
        <f t="shared" si="14"/>
        <v>1979815</v>
      </c>
      <c r="T79" s="759">
        <f>(J79+K79+L79)/I79*100</f>
        <v>7.8760620905101675</v>
      </c>
      <c r="U79" s="340">
        <f>R79+I79+F79-C79</f>
        <v>0</v>
      </c>
      <c r="V79" s="340">
        <f>R79+I79+G79+F79-C79</f>
        <v>0</v>
      </c>
    </row>
    <row r="80" spans="1:21" s="86" customFormat="1" ht="16.5" customHeight="1" thickTop="1">
      <c r="A80" s="1190" t="str">
        <f>'Thông tin'!B7</f>
        <v>Bình Thuận, ngày 06 tháng 4 năm 2016</v>
      </c>
      <c r="B80" s="1190"/>
      <c r="C80" s="1190"/>
      <c r="D80" s="1190"/>
      <c r="E80" s="1190"/>
      <c r="F80" s="1190"/>
      <c r="G80" s="1190"/>
      <c r="H80" s="567"/>
      <c r="I80" s="567"/>
      <c r="J80" s="567"/>
      <c r="K80" s="567"/>
      <c r="L80" s="1046" t="str">
        <f>'Thông tin'!B7</f>
        <v>Bình Thuận, ngày 06 tháng 4 năm 2016</v>
      </c>
      <c r="M80" s="1046"/>
      <c r="N80" s="1046"/>
      <c r="O80" s="1046"/>
      <c r="P80" s="1046"/>
      <c r="Q80" s="1046"/>
      <c r="R80" s="1046"/>
      <c r="S80" s="1046"/>
      <c r="T80" s="1046"/>
      <c r="U80" s="98"/>
    </row>
    <row r="81" spans="1:21" s="120" customFormat="1" ht="19.5" customHeight="1">
      <c r="A81" s="1047" t="s">
        <v>4</v>
      </c>
      <c r="B81" s="1047"/>
      <c r="C81" s="1047"/>
      <c r="D81" s="1047"/>
      <c r="E81" s="1047"/>
      <c r="F81" s="1047"/>
      <c r="G81" s="1047"/>
      <c r="H81" s="568"/>
      <c r="I81" s="568"/>
      <c r="J81" s="568"/>
      <c r="K81" s="568"/>
      <c r="L81" s="1048" t="s">
        <v>355</v>
      </c>
      <c r="M81" s="1048"/>
      <c r="N81" s="1048"/>
      <c r="O81" s="1048"/>
      <c r="P81" s="1048"/>
      <c r="Q81" s="1048"/>
      <c r="R81" s="1048"/>
      <c r="S81" s="1048"/>
      <c r="T81" s="1048"/>
      <c r="U81" s="107"/>
    </row>
    <row r="82" spans="1:20" ht="16.5">
      <c r="A82" s="306"/>
      <c r="B82" s="1049"/>
      <c r="C82" s="1049"/>
      <c r="D82" s="570"/>
      <c r="E82" s="72"/>
      <c r="F82" s="72"/>
      <c r="G82" s="72"/>
      <c r="H82" s="72"/>
      <c r="I82" s="72"/>
      <c r="J82" s="72"/>
      <c r="K82" s="72"/>
      <c r="L82" s="843" t="s">
        <v>354</v>
      </c>
      <c r="M82" s="843"/>
      <c r="N82" s="843"/>
      <c r="O82" s="843"/>
      <c r="P82" s="843"/>
      <c r="Q82" s="843"/>
      <c r="R82" s="843"/>
      <c r="S82" s="843"/>
      <c r="T82" s="843"/>
    </row>
    <row r="83" spans="1:20" ht="16.5">
      <c r="A83" s="306"/>
      <c r="B83" s="306"/>
      <c r="C83" s="497"/>
      <c r="D83" s="571"/>
      <c r="E83" s="72"/>
      <c r="F83" s="72"/>
      <c r="G83" s="72"/>
      <c r="H83" s="72"/>
      <c r="I83" s="72"/>
      <c r="J83" s="72"/>
      <c r="K83" s="72"/>
      <c r="L83" s="72"/>
      <c r="M83" s="569"/>
      <c r="N83" s="569"/>
      <c r="O83" s="569"/>
      <c r="P83" s="569"/>
      <c r="Q83" s="569"/>
      <c r="R83" s="82"/>
      <c r="S83" s="82"/>
      <c r="T83" s="82"/>
    </row>
    <row r="84" spans="1:20" ht="16.5">
      <c r="A84" s="306"/>
      <c r="B84" s="306"/>
      <c r="C84" s="497"/>
      <c r="D84" s="571"/>
      <c r="E84" s="72"/>
      <c r="F84" s="72"/>
      <c r="G84" s="72"/>
      <c r="H84" s="72"/>
      <c r="I84" s="72"/>
      <c r="J84" s="72"/>
      <c r="K84" s="72"/>
      <c r="L84" s="72"/>
      <c r="M84" s="569"/>
      <c r="N84" s="569"/>
      <c r="O84" s="569"/>
      <c r="P84" s="569"/>
      <c r="Q84" s="569"/>
      <c r="R84" s="82"/>
      <c r="S84" s="82"/>
      <c r="T84" s="82"/>
    </row>
    <row r="85" spans="1:20" ht="15.75" customHeight="1">
      <c r="A85" s="306"/>
      <c r="B85" s="306"/>
      <c r="C85" s="497"/>
      <c r="D85" s="571"/>
      <c r="E85" s="72"/>
      <c r="F85" s="72"/>
      <c r="G85" s="72"/>
      <c r="H85" s="72"/>
      <c r="I85" s="72"/>
      <c r="J85" s="72"/>
      <c r="K85" s="72"/>
      <c r="L85" s="72"/>
      <c r="M85" s="569"/>
      <c r="N85" s="569"/>
      <c r="O85" s="569"/>
      <c r="P85" s="569"/>
      <c r="Q85" s="569"/>
      <c r="R85" s="82"/>
      <c r="S85" s="82"/>
      <c r="T85" s="82"/>
    </row>
    <row r="86" spans="1:20" ht="16.5">
      <c r="A86" s="571"/>
      <c r="B86" s="306"/>
      <c r="C86" s="571"/>
      <c r="D86" s="571"/>
      <c r="E86" s="72"/>
      <c r="F86" s="72"/>
      <c r="G86" s="72"/>
      <c r="H86" s="72"/>
      <c r="I86" s="72"/>
      <c r="J86" s="72"/>
      <c r="K86" s="72"/>
      <c r="L86" s="72"/>
      <c r="M86" s="571"/>
      <c r="N86" s="571"/>
      <c r="O86" s="571"/>
      <c r="P86" s="571"/>
      <c r="Q86" s="571"/>
      <c r="R86" s="82"/>
      <c r="S86" s="82"/>
      <c r="T86" s="82"/>
    </row>
    <row r="87" spans="1:20" ht="18" customHeight="1">
      <c r="A87" s="843" t="str">
        <f>'Thông tin'!B4</f>
        <v>Trần Quốc Bảo</v>
      </c>
      <c r="B87" s="843"/>
      <c r="C87" s="843"/>
      <c r="D87" s="843"/>
      <c r="E87" s="843"/>
      <c r="F87" s="843"/>
      <c r="G87" s="843"/>
      <c r="H87" s="72"/>
      <c r="I87" s="72"/>
      <c r="J87" s="72"/>
      <c r="K87" s="72"/>
      <c r="L87" s="843" t="str">
        <f>'Thông tin'!B5</f>
        <v>Trần Nam</v>
      </c>
      <c r="M87" s="843"/>
      <c r="N87" s="843"/>
      <c r="O87" s="843"/>
      <c r="P87" s="843"/>
      <c r="Q87" s="843"/>
      <c r="R87" s="843"/>
      <c r="S87" s="843"/>
      <c r="T87" s="843"/>
    </row>
    <row r="88" spans="2:17" ht="15.75">
      <c r="B88" s="1195"/>
      <c r="C88" s="1195"/>
      <c r="D88" s="1195"/>
      <c r="E88" s="1195"/>
      <c r="F88" s="1195"/>
      <c r="G88" s="1195"/>
      <c r="H88" s="1195"/>
      <c r="I88" s="1195"/>
      <c r="J88" s="1195"/>
      <c r="K88" s="1195"/>
      <c r="L88" s="1195"/>
      <c r="M88" s="1195"/>
      <c r="N88" s="1195"/>
      <c r="O88" s="1195"/>
      <c r="P88" s="101"/>
      <c r="Q88" s="101"/>
    </row>
    <row r="89" spans="2:17" ht="15.75">
      <c r="B89" s="1195"/>
      <c r="C89" s="1195"/>
      <c r="D89" s="1195"/>
      <c r="E89" s="1195"/>
      <c r="F89" s="1195"/>
      <c r="G89" s="1195"/>
      <c r="H89" s="1195"/>
      <c r="I89" s="1195"/>
      <c r="J89" s="1195"/>
      <c r="K89" s="1195"/>
      <c r="L89" s="1195"/>
      <c r="M89" s="1195"/>
      <c r="N89" s="1195"/>
      <c r="O89" s="1195"/>
      <c r="P89" s="101"/>
      <c r="Q89" s="101"/>
    </row>
    <row r="90" spans="2:17" ht="15.75">
      <c r="B90" s="1195"/>
      <c r="C90" s="1195"/>
      <c r="D90" s="1195"/>
      <c r="E90" s="1195"/>
      <c r="F90" s="1195"/>
      <c r="G90" s="1195"/>
      <c r="H90" s="1195"/>
      <c r="I90" s="1195"/>
      <c r="J90" s="1195"/>
      <c r="K90" s="1195"/>
      <c r="L90" s="1195"/>
      <c r="M90" s="1195"/>
      <c r="N90" s="1195"/>
      <c r="O90" s="1195"/>
      <c r="P90" s="101"/>
      <c r="Q90" s="101"/>
    </row>
    <row r="91" spans="1:16" ht="15.75">
      <c r="A91" s="123"/>
      <c r="B91" s="1187"/>
      <c r="C91" s="1187"/>
      <c r="D91" s="1187"/>
      <c r="E91" s="1187"/>
      <c r="F91" s="1187"/>
      <c r="G91" s="1187"/>
      <c r="H91" s="1187"/>
      <c r="I91" s="1187"/>
      <c r="J91" s="1187"/>
      <c r="K91" s="1187"/>
      <c r="L91" s="1187"/>
      <c r="M91" s="1187"/>
      <c r="N91" s="1187"/>
      <c r="O91" s="1187"/>
      <c r="P91" s="123"/>
    </row>
    <row r="92" spans="1:19" ht="16.5">
      <c r="A92" s="1203"/>
      <c r="B92" s="1203"/>
      <c r="C92" s="1203"/>
      <c r="D92" s="1203"/>
      <c r="E92" s="1203"/>
      <c r="F92" s="1203"/>
      <c r="G92" s="1203"/>
      <c r="H92" s="308"/>
      <c r="I92" s="308"/>
      <c r="J92" s="308"/>
      <c r="K92" s="308"/>
      <c r="L92" s="1203"/>
      <c r="M92" s="1203"/>
      <c r="N92" s="1203"/>
      <c r="O92" s="1203"/>
      <c r="P92" s="1203"/>
      <c r="Q92" s="1203"/>
      <c r="R92" s="1203"/>
      <c r="S92" s="1203"/>
    </row>
    <row r="93" spans="1:16" ht="15.75">
      <c r="A93" s="123"/>
      <c r="B93" s="123"/>
      <c r="C93" s="123"/>
      <c r="D93" s="123"/>
      <c r="E93" s="123"/>
      <c r="F93" s="123"/>
      <c r="G93" s="123"/>
      <c r="H93" s="123"/>
      <c r="I93" s="123"/>
      <c r="J93" s="123"/>
      <c r="K93" s="123"/>
      <c r="L93" s="123"/>
      <c r="M93" s="123"/>
      <c r="N93" s="123"/>
      <c r="O93" s="123"/>
      <c r="P93" s="123"/>
    </row>
  </sheetData>
  <sheetProtection/>
  <mergeCells count="51">
    <mergeCell ref="B90:O90"/>
    <mergeCell ref="A3:D3"/>
    <mergeCell ref="A92:G92"/>
    <mergeCell ref="L92:S92"/>
    <mergeCell ref="L80:T80"/>
    <mergeCell ref="L81:T81"/>
    <mergeCell ref="L82:T82"/>
    <mergeCell ref="L87:T87"/>
    <mergeCell ref="A87:G87"/>
    <mergeCell ref="B88:O88"/>
    <mergeCell ref="B89:O89"/>
    <mergeCell ref="Q1:T1"/>
    <mergeCell ref="Q3:T3"/>
    <mergeCell ref="Q2:T2"/>
    <mergeCell ref="T6:T10"/>
    <mergeCell ref="I8:I10"/>
    <mergeCell ref="J8:Q8"/>
    <mergeCell ref="N9:N10"/>
    <mergeCell ref="R7:R10"/>
    <mergeCell ref="O9:O10"/>
    <mergeCell ref="B91:O91"/>
    <mergeCell ref="B82:C82"/>
    <mergeCell ref="E1:O1"/>
    <mergeCell ref="E2:O2"/>
    <mergeCell ref="E3:O3"/>
    <mergeCell ref="E4:O4"/>
    <mergeCell ref="A80:G80"/>
    <mergeCell ref="A12:B12"/>
    <mergeCell ref="H7:H10"/>
    <mergeCell ref="I7:Q7"/>
    <mergeCell ref="A11:B11"/>
    <mergeCell ref="A81:G81"/>
    <mergeCell ref="H6:R6"/>
    <mergeCell ref="J9:J10"/>
    <mergeCell ref="C6:E6"/>
    <mergeCell ref="C7:C10"/>
    <mergeCell ref="Q5:T5"/>
    <mergeCell ref="Q9:Q10"/>
    <mergeCell ref="K9:K10"/>
    <mergeCell ref="L9:L10"/>
    <mergeCell ref="M9:M10"/>
    <mergeCell ref="A2:D2"/>
    <mergeCell ref="A6:B10"/>
    <mergeCell ref="D9:D10"/>
    <mergeCell ref="S6:S10"/>
    <mergeCell ref="P9:P10"/>
    <mergeCell ref="F6:F10"/>
    <mergeCell ref="G6:G10"/>
    <mergeCell ref="D7:E8"/>
    <mergeCell ref="Q4:T4"/>
    <mergeCell ref="E9:E10"/>
  </mergeCells>
  <printOptions/>
  <pageMargins left="0.2" right="0" top="0.2" bottom="0" header="0.2" footer="0.2"/>
  <pageSetup horizontalDpi="600" verticalDpi="600" orientation="landscape" paperSize="9" scale="95" r:id="rId2"/>
  <drawing r:id="rId1"/>
</worksheet>
</file>

<file path=xl/worksheets/sheet16.xml><?xml version="1.0" encoding="utf-8"?>
<worksheet xmlns="http://schemas.openxmlformats.org/spreadsheetml/2006/main" xmlns:r="http://schemas.openxmlformats.org/officeDocument/2006/relationships">
  <sheetPr>
    <tabColor indexed="19"/>
  </sheetPr>
  <dimension ref="A1:Z93"/>
  <sheetViews>
    <sheetView zoomScalePageLayoutView="0" workbookViewId="0" topLeftCell="A1">
      <selection activeCell="U10" sqref="U10"/>
    </sheetView>
  </sheetViews>
  <sheetFormatPr defaultColWidth="9.00390625" defaultRowHeight="15.75"/>
  <cols>
    <col min="1" max="1" width="3.25390625" style="96" customWidth="1"/>
    <col min="2" max="2" width="17.125" style="96" customWidth="1"/>
    <col min="3" max="3" width="8.50390625" style="96" customWidth="1"/>
    <col min="4" max="5" width="7.375" style="96" customWidth="1"/>
    <col min="6" max="6" width="6.50390625" style="96" customWidth="1"/>
    <col min="7" max="7" width="6.125" style="96" customWidth="1"/>
    <col min="8" max="8" width="8.25390625" style="96" customWidth="1"/>
    <col min="9" max="9" width="7.875" style="96" customWidth="1"/>
    <col min="10" max="11" width="6.25390625" style="96" customWidth="1"/>
    <col min="12" max="12" width="5.75390625" style="96" customWidth="1"/>
    <col min="13" max="14" width="5.875" style="96" customWidth="1"/>
    <col min="15" max="15" width="5.625" style="96" customWidth="1"/>
    <col min="16" max="16" width="5.25390625" style="96" customWidth="1"/>
    <col min="17" max="17" width="7.50390625" style="96" customWidth="1"/>
    <col min="18" max="18" width="7.875" style="96" customWidth="1"/>
    <col min="19" max="19" width="6.00390625" style="96" customWidth="1"/>
    <col min="20" max="20" width="4.25390625" style="96" customWidth="1"/>
    <col min="21" max="16384" width="9.00390625" style="96" customWidth="1"/>
  </cols>
  <sheetData>
    <row r="1" spans="1:20" ht="20.25" customHeight="1">
      <c r="A1" s="101" t="s">
        <v>24</v>
      </c>
      <c r="B1" s="101"/>
      <c r="C1" s="101"/>
      <c r="E1" s="1188" t="s">
        <v>71</v>
      </c>
      <c r="F1" s="1188"/>
      <c r="G1" s="1188"/>
      <c r="H1" s="1188"/>
      <c r="I1" s="1188"/>
      <c r="J1" s="1188"/>
      <c r="K1" s="1188"/>
      <c r="L1" s="1188"/>
      <c r="M1" s="1188"/>
      <c r="N1" s="1188"/>
      <c r="O1" s="1231" t="s">
        <v>360</v>
      </c>
      <c r="P1" s="1232"/>
      <c r="Q1" s="1232"/>
      <c r="R1" s="1232"/>
      <c r="S1" s="574"/>
      <c r="T1" s="115"/>
    </row>
    <row r="2" spans="1:20" ht="17.25" customHeight="1">
      <c r="A2" s="1157" t="s">
        <v>247</v>
      </c>
      <c r="B2" s="1157"/>
      <c r="C2" s="1157"/>
      <c r="D2" s="1157"/>
      <c r="E2" s="1189" t="s">
        <v>30</v>
      </c>
      <c r="F2" s="1189"/>
      <c r="G2" s="1189"/>
      <c r="H2" s="1189"/>
      <c r="I2" s="1189"/>
      <c r="J2" s="1189"/>
      <c r="K2" s="1189"/>
      <c r="L2" s="1189"/>
      <c r="M2" s="1189"/>
      <c r="N2" s="1189"/>
      <c r="O2" s="1087" t="str">
        <f>'Thông tin'!B3</f>
        <v>Cục THADS tỉnh Bình Thuận</v>
      </c>
      <c r="P2" s="1087"/>
      <c r="Q2" s="1087"/>
      <c r="R2" s="1087"/>
      <c r="S2" s="1087"/>
      <c r="T2" s="121"/>
    </row>
    <row r="3" spans="1:20" ht="14.25" customHeight="1">
      <c r="A3" s="1157" t="s">
        <v>248</v>
      </c>
      <c r="B3" s="1157"/>
      <c r="C3" s="1157"/>
      <c r="D3" s="1157"/>
      <c r="E3" s="1188" t="str">
        <f>'Thông tin'!B2</f>
        <v>6 tháng / năm 2016</v>
      </c>
      <c r="F3" s="1188"/>
      <c r="G3" s="1188"/>
      <c r="H3" s="1188"/>
      <c r="I3" s="1188"/>
      <c r="J3" s="1188"/>
      <c r="K3" s="1188"/>
      <c r="L3" s="1188"/>
      <c r="M3" s="1188"/>
      <c r="N3" s="1188"/>
      <c r="O3" s="1231" t="s">
        <v>359</v>
      </c>
      <c r="P3" s="1232"/>
      <c r="Q3" s="1232"/>
      <c r="R3" s="1232"/>
      <c r="S3" s="574"/>
      <c r="T3" s="115"/>
    </row>
    <row r="4" spans="1:20" ht="14.25" customHeight="1">
      <c r="A4" s="309" t="s">
        <v>351</v>
      </c>
      <c r="B4" s="101"/>
      <c r="C4" s="101"/>
      <c r="D4" s="101"/>
      <c r="E4" s="1003" t="s">
        <v>363</v>
      </c>
      <c r="F4" s="1003"/>
      <c r="G4" s="1003"/>
      <c r="H4" s="1003"/>
      <c r="I4" s="1003"/>
      <c r="J4" s="1003"/>
      <c r="K4" s="1003"/>
      <c r="L4" s="1003"/>
      <c r="M4" s="1003"/>
      <c r="N4" s="1003"/>
      <c r="O4" s="1087" t="s">
        <v>350</v>
      </c>
      <c r="P4" s="1087"/>
      <c r="Q4" s="1087"/>
      <c r="R4" s="1087"/>
      <c r="S4" s="1087"/>
      <c r="T4" s="121"/>
    </row>
    <row r="5" spans="2:19" ht="12.75" customHeight="1">
      <c r="B5" s="160"/>
      <c r="C5" s="160"/>
      <c r="E5" s="82"/>
      <c r="F5" s="82"/>
      <c r="G5" s="82"/>
      <c r="H5" s="82"/>
      <c r="I5" s="82"/>
      <c r="J5" s="82"/>
      <c r="K5" s="82"/>
      <c r="L5" s="82"/>
      <c r="M5" s="82"/>
      <c r="N5" s="82"/>
      <c r="O5" s="1216" t="s">
        <v>328</v>
      </c>
      <c r="P5" s="1216"/>
      <c r="Q5" s="1216"/>
      <c r="R5" s="1216"/>
      <c r="S5" s="575"/>
    </row>
    <row r="6" spans="1:19" ht="26.25" customHeight="1">
      <c r="A6" s="1208" t="s">
        <v>61</v>
      </c>
      <c r="B6" s="1209"/>
      <c r="C6" s="1224" t="s">
        <v>187</v>
      </c>
      <c r="D6" s="1229"/>
      <c r="E6" s="1230"/>
      <c r="F6" s="1227" t="s">
        <v>103</v>
      </c>
      <c r="G6" s="1215" t="s">
        <v>188</v>
      </c>
      <c r="H6" s="1180" t="s">
        <v>106</v>
      </c>
      <c r="I6" s="1181"/>
      <c r="J6" s="1181"/>
      <c r="K6" s="1181"/>
      <c r="L6" s="1181"/>
      <c r="M6" s="1181"/>
      <c r="N6" s="1181"/>
      <c r="O6" s="1181"/>
      <c r="P6" s="1181"/>
      <c r="Q6" s="1182"/>
      <c r="R6" s="1204" t="s">
        <v>263</v>
      </c>
      <c r="S6" s="1204" t="s">
        <v>189</v>
      </c>
    </row>
    <row r="7" spans="1:26" s="122" customFormat="1" ht="16.5" customHeight="1">
      <c r="A7" s="1210"/>
      <c r="B7" s="1211"/>
      <c r="C7" s="1204" t="s">
        <v>36</v>
      </c>
      <c r="D7" s="1217" t="s">
        <v>6</v>
      </c>
      <c r="E7" s="1218"/>
      <c r="F7" s="1228"/>
      <c r="G7" s="1205"/>
      <c r="H7" s="1215" t="s">
        <v>27</v>
      </c>
      <c r="I7" s="1217" t="s">
        <v>107</v>
      </c>
      <c r="J7" s="1221"/>
      <c r="K7" s="1221"/>
      <c r="L7" s="1221"/>
      <c r="M7" s="1221"/>
      <c r="N7" s="1221"/>
      <c r="O7" s="1221"/>
      <c r="P7" s="1222"/>
      <c r="Q7" s="1218" t="s">
        <v>190</v>
      </c>
      <c r="R7" s="1205"/>
      <c r="S7" s="1205"/>
      <c r="T7" s="115"/>
      <c r="U7" s="115"/>
      <c r="V7" s="115"/>
      <c r="W7" s="115"/>
      <c r="X7" s="115"/>
      <c r="Y7" s="115"/>
      <c r="Z7" s="115"/>
    </row>
    <row r="8" spans="1:19" ht="15.75" customHeight="1">
      <c r="A8" s="1210"/>
      <c r="B8" s="1211"/>
      <c r="C8" s="1205"/>
      <c r="D8" s="1219"/>
      <c r="E8" s="1220"/>
      <c r="F8" s="1228"/>
      <c r="G8" s="1205"/>
      <c r="H8" s="1205"/>
      <c r="I8" s="1215" t="s">
        <v>27</v>
      </c>
      <c r="J8" s="1224" t="s">
        <v>6</v>
      </c>
      <c r="K8" s="1225"/>
      <c r="L8" s="1225"/>
      <c r="M8" s="1225"/>
      <c r="N8" s="1225"/>
      <c r="O8" s="1225"/>
      <c r="P8" s="1214"/>
      <c r="Q8" s="1223"/>
      <c r="R8" s="1205"/>
      <c r="S8" s="1205"/>
    </row>
    <row r="9" spans="1:19" ht="15.75" customHeight="1">
      <c r="A9" s="1210"/>
      <c r="B9" s="1211"/>
      <c r="C9" s="1205"/>
      <c r="D9" s="1204" t="s">
        <v>191</v>
      </c>
      <c r="E9" s="1204" t="s">
        <v>192</v>
      </c>
      <c r="F9" s="1228"/>
      <c r="G9" s="1205"/>
      <c r="H9" s="1205"/>
      <c r="I9" s="1205"/>
      <c r="J9" s="1214" t="s">
        <v>193</v>
      </c>
      <c r="K9" s="1226" t="s">
        <v>194</v>
      </c>
      <c r="L9" s="1207" t="s">
        <v>111</v>
      </c>
      <c r="M9" s="1215" t="s">
        <v>195</v>
      </c>
      <c r="N9" s="1215" t="s">
        <v>115</v>
      </c>
      <c r="O9" s="1215" t="s">
        <v>264</v>
      </c>
      <c r="P9" s="1215" t="s">
        <v>262</v>
      </c>
      <c r="Q9" s="1223"/>
      <c r="R9" s="1205"/>
      <c r="S9" s="1205"/>
    </row>
    <row r="10" spans="1:19" ht="66" customHeight="1">
      <c r="A10" s="1212"/>
      <c r="B10" s="1213"/>
      <c r="C10" s="1206"/>
      <c r="D10" s="1206"/>
      <c r="E10" s="1206"/>
      <c r="F10" s="1219"/>
      <c r="G10" s="1206"/>
      <c r="H10" s="1206"/>
      <c r="I10" s="1206"/>
      <c r="J10" s="1214"/>
      <c r="K10" s="1226"/>
      <c r="L10" s="1207"/>
      <c r="M10" s="1206"/>
      <c r="N10" s="1206" t="s">
        <v>115</v>
      </c>
      <c r="O10" s="1206" t="s">
        <v>264</v>
      </c>
      <c r="P10" s="1206" t="s">
        <v>262</v>
      </c>
      <c r="Q10" s="1220"/>
      <c r="R10" s="1206"/>
      <c r="S10" s="1206"/>
    </row>
    <row r="11" spans="1:19" ht="14.25" customHeight="1">
      <c r="A11" s="1178" t="s">
        <v>5</v>
      </c>
      <c r="B11" s="1179"/>
      <c r="C11" s="200">
        <v>1</v>
      </c>
      <c r="D11" s="200">
        <v>2</v>
      </c>
      <c r="E11" s="200">
        <v>3</v>
      </c>
      <c r="F11" s="200">
        <v>4</v>
      </c>
      <c r="G11" s="200">
        <v>5</v>
      </c>
      <c r="H11" s="200">
        <v>6</v>
      </c>
      <c r="I11" s="200">
        <v>7</v>
      </c>
      <c r="J11" s="200">
        <v>8</v>
      </c>
      <c r="K11" s="200">
        <v>9</v>
      </c>
      <c r="L11" s="200">
        <v>10</v>
      </c>
      <c r="M11" s="200">
        <v>11</v>
      </c>
      <c r="N11" s="200">
        <v>12</v>
      </c>
      <c r="O11" s="200">
        <v>13</v>
      </c>
      <c r="P11" s="200">
        <v>14</v>
      </c>
      <c r="Q11" s="200">
        <v>15</v>
      </c>
      <c r="R11" s="200">
        <v>16</v>
      </c>
      <c r="S11" s="200">
        <v>17</v>
      </c>
    </row>
    <row r="12" spans="1:20" ht="22.5" customHeight="1">
      <c r="A12" s="1191" t="s">
        <v>26</v>
      </c>
      <c r="B12" s="1192"/>
      <c r="C12" s="208">
        <f>C13+C26</f>
        <v>11080</v>
      </c>
      <c r="D12" s="208">
        <f aca="true" t="shared" si="0" ref="D12:R12">D13+D26</f>
        <v>5872</v>
      </c>
      <c r="E12" s="208">
        <f t="shared" si="0"/>
        <v>5208</v>
      </c>
      <c r="F12" s="208">
        <f t="shared" si="0"/>
        <v>101</v>
      </c>
      <c r="G12" s="208">
        <f t="shared" si="0"/>
        <v>11</v>
      </c>
      <c r="H12" s="208">
        <f t="shared" si="0"/>
        <v>10979</v>
      </c>
      <c r="I12" s="208">
        <f t="shared" si="0"/>
        <v>9439</v>
      </c>
      <c r="J12" s="208">
        <f t="shared" si="0"/>
        <v>3811</v>
      </c>
      <c r="K12" s="208">
        <f t="shared" si="0"/>
        <v>156</v>
      </c>
      <c r="L12" s="208">
        <f t="shared" si="0"/>
        <v>4914</v>
      </c>
      <c r="M12" s="208">
        <f t="shared" si="0"/>
        <v>141</v>
      </c>
      <c r="N12" s="208">
        <f t="shared" si="0"/>
        <v>27</v>
      </c>
      <c r="O12" s="208">
        <f t="shared" si="0"/>
        <v>0</v>
      </c>
      <c r="P12" s="208">
        <f t="shared" si="0"/>
        <v>390</v>
      </c>
      <c r="Q12" s="208">
        <f t="shared" si="0"/>
        <v>1540</v>
      </c>
      <c r="R12" s="208">
        <f t="shared" si="0"/>
        <v>7012</v>
      </c>
      <c r="S12" s="333">
        <f>(J12+K12)/I12*100</f>
        <v>42.02775717766713</v>
      </c>
      <c r="T12" s="340">
        <f>Q12+I12+F12-C12</f>
        <v>0</v>
      </c>
    </row>
    <row r="13" spans="1:20" ht="18" customHeight="1">
      <c r="A13" s="201" t="s">
        <v>0</v>
      </c>
      <c r="B13" s="202" t="s">
        <v>329</v>
      </c>
      <c r="C13" s="208">
        <f>SUM(C14:C25)</f>
        <v>395</v>
      </c>
      <c r="D13" s="208">
        <f aca="true" t="shared" si="1" ref="D13:Q13">SUM(D14:D25)</f>
        <v>340</v>
      </c>
      <c r="E13" s="208">
        <f t="shared" si="1"/>
        <v>55</v>
      </c>
      <c r="F13" s="208">
        <f t="shared" si="1"/>
        <v>3</v>
      </c>
      <c r="G13" s="208">
        <f t="shared" si="1"/>
        <v>0</v>
      </c>
      <c r="H13" s="208">
        <f t="shared" si="1"/>
        <v>392</v>
      </c>
      <c r="I13" s="208">
        <f t="shared" si="1"/>
        <v>315</v>
      </c>
      <c r="J13" s="208">
        <f t="shared" si="1"/>
        <v>48</v>
      </c>
      <c r="K13" s="208">
        <f t="shared" si="1"/>
        <v>8</v>
      </c>
      <c r="L13" s="208">
        <f t="shared" si="1"/>
        <v>221</v>
      </c>
      <c r="M13" s="208">
        <f t="shared" si="1"/>
        <v>11</v>
      </c>
      <c r="N13" s="208">
        <f t="shared" si="1"/>
        <v>3</v>
      </c>
      <c r="O13" s="208">
        <f t="shared" si="1"/>
        <v>0</v>
      </c>
      <c r="P13" s="208">
        <f t="shared" si="1"/>
        <v>24</v>
      </c>
      <c r="Q13" s="208">
        <f t="shared" si="1"/>
        <v>77</v>
      </c>
      <c r="R13" s="208">
        <f>L13+M13+N13+O13+P13+Q13</f>
        <v>336</v>
      </c>
      <c r="S13" s="333">
        <f>(J13+K13)/I13*100</f>
        <v>17.77777777777778</v>
      </c>
      <c r="T13" s="340">
        <f aca="true" t="shared" si="2" ref="T13:T78">Q13+I13+F13-C13</f>
        <v>0</v>
      </c>
    </row>
    <row r="14" spans="1:20" ht="18" customHeight="1">
      <c r="A14" s="119" t="s">
        <v>37</v>
      </c>
      <c r="B14" s="697" t="s">
        <v>364</v>
      </c>
      <c r="C14" s="208">
        <f>D14+E14</f>
        <v>1</v>
      </c>
      <c r="D14" s="698">
        <v>0</v>
      </c>
      <c r="E14" s="698">
        <v>1</v>
      </c>
      <c r="F14" s="699">
        <v>0</v>
      </c>
      <c r="G14" s="699">
        <v>0</v>
      </c>
      <c r="H14" s="208">
        <f>I14+Q14</f>
        <v>1</v>
      </c>
      <c r="I14" s="208">
        <f>J14+K14+L14+M14+N14+O14+P14</f>
        <v>1</v>
      </c>
      <c r="J14" s="698">
        <v>1</v>
      </c>
      <c r="K14" s="698">
        <v>0</v>
      </c>
      <c r="L14" s="698">
        <v>0</v>
      </c>
      <c r="M14" s="698">
        <v>0</v>
      </c>
      <c r="N14" s="698">
        <v>0</v>
      </c>
      <c r="O14" s="698">
        <v>0</v>
      </c>
      <c r="P14" s="700">
        <v>0</v>
      </c>
      <c r="Q14" s="701">
        <v>0</v>
      </c>
      <c r="R14" s="702">
        <f>L14+M14+N14+O14+P14+Q14</f>
        <v>0</v>
      </c>
      <c r="S14" s="703">
        <f>(J14+K14)/I14*100</f>
        <v>100</v>
      </c>
      <c r="T14" s="340">
        <f t="shared" si="2"/>
        <v>0</v>
      </c>
    </row>
    <row r="15" spans="1:20" ht="18" customHeight="1">
      <c r="A15" s="119" t="s">
        <v>38</v>
      </c>
      <c r="B15" s="697" t="s">
        <v>391</v>
      </c>
      <c r="C15" s="208">
        <f>D15+E15</f>
        <v>3</v>
      </c>
      <c r="D15" s="698">
        <v>0</v>
      </c>
      <c r="E15" s="698">
        <v>3</v>
      </c>
      <c r="F15" s="699">
        <v>0</v>
      </c>
      <c r="G15" s="699">
        <v>0</v>
      </c>
      <c r="H15" s="208">
        <f>I15+Q15</f>
        <v>3</v>
      </c>
      <c r="I15" s="208">
        <f>J15+K15+L15+M15+N15+O15+P15</f>
        <v>3</v>
      </c>
      <c r="J15" s="698">
        <v>1</v>
      </c>
      <c r="K15" s="698">
        <v>0</v>
      </c>
      <c r="L15" s="698">
        <v>2</v>
      </c>
      <c r="M15" s="698">
        <v>0</v>
      </c>
      <c r="N15" s="698">
        <v>0</v>
      </c>
      <c r="O15" s="698">
        <v>0</v>
      </c>
      <c r="P15" s="700">
        <v>0</v>
      </c>
      <c r="Q15" s="701">
        <v>0</v>
      </c>
      <c r="R15" s="702">
        <f>L15+M15+N15+O15+P15+Q15</f>
        <v>2</v>
      </c>
      <c r="S15" s="703">
        <f>(J15+K15)/I15*100</f>
        <v>33.33333333333333</v>
      </c>
      <c r="T15" s="340">
        <f t="shared" si="2"/>
        <v>0</v>
      </c>
    </row>
    <row r="16" spans="1:20" ht="18" customHeight="1">
      <c r="A16" s="119" t="s">
        <v>43</v>
      </c>
      <c r="B16" s="697" t="s">
        <v>353</v>
      </c>
      <c r="C16" s="208">
        <f>D16+E16</f>
        <v>2</v>
      </c>
      <c r="D16" s="698">
        <v>0</v>
      </c>
      <c r="E16" s="698">
        <v>2</v>
      </c>
      <c r="F16" s="699">
        <v>0</v>
      </c>
      <c r="G16" s="699">
        <v>0</v>
      </c>
      <c r="H16" s="208">
        <f>I16+Q16</f>
        <v>2</v>
      </c>
      <c r="I16" s="208">
        <f>J16+K16+L16+M16+N16+O16+P16</f>
        <v>2</v>
      </c>
      <c r="J16" s="698">
        <v>1</v>
      </c>
      <c r="K16" s="698">
        <v>0</v>
      </c>
      <c r="L16" s="698">
        <v>1</v>
      </c>
      <c r="M16" s="698">
        <v>0</v>
      </c>
      <c r="N16" s="698">
        <v>0</v>
      </c>
      <c r="O16" s="698">
        <v>0</v>
      </c>
      <c r="P16" s="700">
        <v>0</v>
      </c>
      <c r="Q16" s="701">
        <v>0</v>
      </c>
      <c r="R16" s="702">
        <f>L16+M16+N16+O16+P16+Q16</f>
        <v>1</v>
      </c>
      <c r="S16" s="703">
        <f>(J16+K16)/I16*100</f>
        <v>50</v>
      </c>
      <c r="T16" s="340">
        <f t="shared" si="2"/>
        <v>0</v>
      </c>
    </row>
    <row r="17" spans="1:20" ht="17.25" customHeight="1">
      <c r="A17" s="119" t="s">
        <v>62</v>
      </c>
      <c r="B17" s="697" t="s">
        <v>267</v>
      </c>
      <c r="C17" s="208">
        <f aca="true" t="shared" si="3" ref="C17:C25">D17+E17</f>
        <v>60</v>
      </c>
      <c r="D17" s="698">
        <v>60</v>
      </c>
      <c r="E17" s="698">
        <v>0</v>
      </c>
      <c r="F17" s="699">
        <v>1</v>
      </c>
      <c r="G17" s="699">
        <v>0</v>
      </c>
      <c r="H17" s="208">
        <f aca="true" t="shared" si="4" ref="H17:H25">I17+Q17</f>
        <v>59</v>
      </c>
      <c r="I17" s="208">
        <f aca="true" t="shared" si="5" ref="I17:I25">J17+K17+L17+M17+N17+O17+P17</f>
        <v>51</v>
      </c>
      <c r="J17" s="698">
        <v>4</v>
      </c>
      <c r="K17" s="698">
        <v>6</v>
      </c>
      <c r="L17" s="698">
        <v>41</v>
      </c>
      <c r="M17" s="698">
        <v>0</v>
      </c>
      <c r="N17" s="698">
        <v>0</v>
      </c>
      <c r="O17" s="698">
        <v>0</v>
      </c>
      <c r="P17" s="700">
        <v>0</v>
      </c>
      <c r="Q17" s="701">
        <v>8</v>
      </c>
      <c r="R17" s="702">
        <f aca="true" t="shared" si="6" ref="R17:R25">L17+M17+N17+O17+P17+Q17</f>
        <v>49</v>
      </c>
      <c r="S17" s="703">
        <f aca="true" t="shared" si="7" ref="S17:S79">(J17+K17)/I17*100</f>
        <v>19.607843137254903</v>
      </c>
      <c r="T17" s="340">
        <f t="shared" si="2"/>
        <v>0</v>
      </c>
    </row>
    <row r="18" spans="1:20" ht="18" customHeight="1">
      <c r="A18" s="119" t="s">
        <v>63</v>
      </c>
      <c r="B18" s="697" t="s">
        <v>268</v>
      </c>
      <c r="C18" s="208">
        <f t="shared" si="3"/>
        <v>42</v>
      </c>
      <c r="D18" s="698">
        <v>37</v>
      </c>
      <c r="E18" s="698">
        <v>5</v>
      </c>
      <c r="F18" s="699">
        <v>1</v>
      </c>
      <c r="G18" s="699">
        <v>0</v>
      </c>
      <c r="H18" s="208">
        <f t="shared" si="4"/>
        <v>41</v>
      </c>
      <c r="I18" s="208">
        <f t="shared" si="5"/>
        <v>30</v>
      </c>
      <c r="J18" s="698">
        <v>7</v>
      </c>
      <c r="K18" s="698">
        <v>0</v>
      </c>
      <c r="L18" s="698">
        <v>13</v>
      </c>
      <c r="M18" s="698">
        <v>2</v>
      </c>
      <c r="N18" s="698">
        <v>0</v>
      </c>
      <c r="O18" s="698">
        <v>0</v>
      </c>
      <c r="P18" s="700">
        <v>8</v>
      </c>
      <c r="Q18" s="701">
        <v>11</v>
      </c>
      <c r="R18" s="702">
        <f t="shared" si="6"/>
        <v>34</v>
      </c>
      <c r="S18" s="703">
        <f t="shared" si="7"/>
        <v>23.333333333333332</v>
      </c>
      <c r="T18" s="340">
        <f t="shared" si="2"/>
        <v>0</v>
      </c>
    </row>
    <row r="19" spans="1:20" ht="18.75" customHeight="1">
      <c r="A19" s="119" t="s">
        <v>64</v>
      </c>
      <c r="B19" s="697" t="s">
        <v>269</v>
      </c>
      <c r="C19" s="208">
        <f t="shared" si="3"/>
        <v>58</v>
      </c>
      <c r="D19" s="698">
        <v>57</v>
      </c>
      <c r="E19" s="698">
        <v>1</v>
      </c>
      <c r="F19" s="699">
        <v>0</v>
      </c>
      <c r="G19" s="699">
        <v>0</v>
      </c>
      <c r="H19" s="208">
        <f t="shared" si="4"/>
        <v>58</v>
      </c>
      <c r="I19" s="208">
        <f t="shared" si="5"/>
        <v>53</v>
      </c>
      <c r="J19" s="698">
        <v>2</v>
      </c>
      <c r="K19" s="698">
        <v>0</v>
      </c>
      <c r="L19" s="698">
        <v>48</v>
      </c>
      <c r="M19" s="698">
        <v>3</v>
      </c>
      <c r="N19" s="698">
        <v>0</v>
      </c>
      <c r="O19" s="698">
        <v>0</v>
      </c>
      <c r="P19" s="700">
        <v>0</v>
      </c>
      <c r="Q19" s="701">
        <v>5</v>
      </c>
      <c r="R19" s="702">
        <f t="shared" si="6"/>
        <v>56</v>
      </c>
      <c r="S19" s="703">
        <f t="shared" si="7"/>
        <v>3.7735849056603774</v>
      </c>
      <c r="T19" s="340">
        <f t="shared" si="2"/>
        <v>0</v>
      </c>
    </row>
    <row r="20" spans="1:20" ht="18" customHeight="1">
      <c r="A20" s="119" t="s">
        <v>65</v>
      </c>
      <c r="B20" s="697" t="s">
        <v>270</v>
      </c>
      <c r="C20" s="208">
        <f t="shared" si="3"/>
        <v>57</v>
      </c>
      <c r="D20" s="698">
        <v>49</v>
      </c>
      <c r="E20" s="698">
        <v>8</v>
      </c>
      <c r="F20" s="699">
        <v>0</v>
      </c>
      <c r="G20" s="699">
        <v>0</v>
      </c>
      <c r="H20" s="208">
        <f t="shared" si="4"/>
        <v>57</v>
      </c>
      <c r="I20" s="208">
        <f t="shared" si="5"/>
        <v>43</v>
      </c>
      <c r="J20" s="698">
        <v>6</v>
      </c>
      <c r="K20" s="698">
        <v>2</v>
      </c>
      <c r="L20" s="698">
        <v>30</v>
      </c>
      <c r="M20" s="698">
        <v>2</v>
      </c>
      <c r="N20" s="698">
        <v>3</v>
      </c>
      <c r="O20" s="698">
        <v>0</v>
      </c>
      <c r="P20" s="700">
        <v>0</v>
      </c>
      <c r="Q20" s="701">
        <v>14</v>
      </c>
      <c r="R20" s="702">
        <f t="shared" si="6"/>
        <v>49</v>
      </c>
      <c r="S20" s="703">
        <f t="shared" si="7"/>
        <v>18.6046511627907</v>
      </c>
      <c r="T20" s="340">
        <f t="shared" si="2"/>
        <v>0</v>
      </c>
    </row>
    <row r="21" spans="1:20" ht="18.75" customHeight="1">
      <c r="A21" s="119" t="s">
        <v>66</v>
      </c>
      <c r="B21" s="704" t="s">
        <v>271</v>
      </c>
      <c r="C21" s="208">
        <f t="shared" si="3"/>
        <v>35</v>
      </c>
      <c r="D21" s="698">
        <v>35</v>
      </c>
      <c r="E21" s="698">
        <v>0</v>
      </c>
      <c r="F21" s="699">
        <v>0</v>
      </c>
      <c r="G21" s="699">
        <v>0</v>
      </c>
      <c r="H21" s="208">
        <f t="shared" si="4"/>
        <v>35</v>
      </c>
      <c r="I21" s="208">
        <f t="shared" si="5"/>
        <v>27</v>
      </c>
      <c r="J21" s="698">
        <v>1</v>
      </c>
      <c r="K21" s="698">
        <v>0</v>
      </c>
      <c r="L21" s="698">
        <v>25</v>
      </c>
      <c r="M21" s="698">
        <v>1</v>
      </c>
      <c r="N21" s="698">
        <v>0</v>
      </c>
      <c r="O21" s="698">
        <v>0</v>
      </c>
      <c r="P21" s="700">
        <v>0</v>
      </c>
      <c r="Q21" s="701">
        <v>8</v>
      </c>
      <c r="R21" s="702">
        <f t="shared" si="6"/>
        <v>34</v>
      </c>
      <c r="S21" s="703">
        <f t="shared" si="7"/>
        <v>3.7037037037037033</v>
      </c>
      <c r="T21" s="340">
        <f t="shared" si="2"/>
        <v>0</v>
      </c>
    </row>
    <row r="22" spans="1:20" ht="18.75" customHeight="1">
      <c r="A22" s="119" t="s">
        <v>67</v>
      </c>
      <c r="B22" s="704" t="s">
        <v>272</v>
      </c>
      <c r="C22" s="208">
        <f t="shared" si="3"/>
        <v>15</v>
      </c>
      <c r="D22" s="698">
        <v>9</v>
      </c>
      <c r="E22" s="698">
        <v>6</v>
      </c>
      <c r="F22" s="699">
        <v>0</v>
      </c>
      <c r="G22" s="699">
        <v>0</v>
      </c>
      <c r="H22" s="208">
        <f t="shared" si="4"/>
        <v>15</v>
      </c>
      <c r="I22" s="208">
        <f t="shared" si="5"/>
        <v>15</v>
      </c>
      <c r="J22" s="698">
        <v>7</v>
      </c>
      <c r="K22" s="698">
        <v>0</v>
      </c>
      <c r="L22" s="698">
        <v>8</v>
      </c>
      <c r="M22" s="698">
        <v>0</v>
      </c>
      <c r="N22" s="698">
        <v>0</v>
      </c>
      <c r="O22" s="698">
        <v>0</v>
      </c>
      <c r="P22" s="700">
        <v>0</v>
      </c>
      <c r="Q22" s="701">
        <v>0</v>
      </c>
      <c r="R22" s="702">
        <f t="shared" si="6"/>
        <v>8</v>
      </c>
      <c r="S22" s="703">
        <f t="shared" si="7"/>
        <v>46.666666666666664</v>
      </c>
      <c r="T22" s="340">
        <f t="shared" si="2"/>
        <v>0</v>
      </c>
    </row>
    <row r="23" spans="1:20" ht="19.5" customHeight="1">
      <c r="A23" s="119" t="s">
        <v>85</v>
      </c>
      <c r="B23" s="697" t="s">
        <v>273</v>
      </c>
      <c r="C23" s="208">
        <f t="shared" si="3"/>
        <v>59</v>
      </c>
      <c r="D23" s="698">
        <v>53</v>
      </c>
      <c r="E23" s="698">
        <v>6</v>
      </c>
      <c r="F23" s="699">
        <v>1</v>
      </c>
      <c r="G23" s="699">
        <v>0</v>
      </c>
      <c r="H23" s="208">
        <f t="shared" si="4"/>
        <v>58</v>
      </c>
      <c r="I23" s="208">
        <f t="shared" si="5"/>
        <v>47</v>
      </c>
      <c r="J23" s="698">
        <v>3</v>
      </c>
      <c r="K23" s="698">
        <v>0</v>
      </c>
      <c r="L23" s="698">
        <v>27</v>
      </c>
      <c r="M23" s="698">
        <v>2</v>
      </c>
      <c r="N23" s="698">
        <v>0</v>
      </c>
      <c r="O23" s="698">
        <v>0</v>
      </c>
      <c r="P23" s="700">
        <v>15</v>
      </c>
      <c r="Q23" s="701">
        <v>11</v>
      </c>
      <c r="R23" s="702">
        <f t="shared" si="6"/>
        <v>55</v>
      </c>
      <c r="S23" s="703">
        <f t="shared" si="7"/>
        <v>6.382978723404255</v>
      </c>
      <c r="T23" s="340">
        <f t="shared" si="2"/>
        <v>0</v>
      </c>
    </row>
    <row r="24" spans="1:20" ht="18.75" customHeight="1">
      <c r="A24" s="119" t="s">
        <v>425</v>
      </c>
      <c r="B24" s="697" t="s">
        <v>275</v>
      </c>
      <c r="C24" s="208">
        <f t="shared" si="3"/>
        <v>43</v>
      </c>
      <c r="D24" s="698">
        <v>30</v>
      </c>
      <c r="E24" s="698">
        <v>13</v>
      </c>
      <c r="F24" s="699">
        <v>0</v>
      </c>
      <c r="G24" s="699">
        <v>0</v>
      </c>
      <c r="H24" s="208">
        <f t="shared" si="4"/>
        <v>43</v>
      </c>
      <c r="I24" s="208">
        <f t="shared" si="5"/>
        <v>28</v>
      </c>
      <c r="J24" s="698">
        <v>9</v>
      </c>
      <c r="K24" s="698">
        <v>0</v>
      </c>
      <c r="L24" s="698">
        <v>18</v>
      </c>
      <c r="M24" s="698">
        <v>0</v>
      </c>
      <c r="N24" s="698">
        <v>0</v>
      </c>
      <c r="O24" s="698">
        <v>0</v>
      </c>
      <c r="P24" s="700">
        <v>1</v>
      </c>
      <c r="Q24" s="701">
        <v>15</v>
      </c>
      <c r="R24" s="702">
        <f t="shared" si="6"/>
        <v>34</v>
      </c>
      <c r="S24" s="703">
        <f t="shared" si="7"/>
        <v>32.142857142857146</v>
      </c>
      <c r="T24" s="340">
        <f t="shared" si="2"/>
        <v>0</v>
      </c>
    </row>
    <row r="25" spans="1:20" ht="19.5" customHeight="1" thickBot="1">
      <c r="A25" s="331" t="s">
        <v>426</v>
      </c>
      <c r="B25" s="705" t="s">
        <v>274</v>
      </c>
      <c r="C25" s="706">
        <f t="shared" si="3"/>
        <v>20</v>
      </c>
      <c r="D25" s="707">
        <v>10</v>
      </c>
      <c r="E25" s="707">
        <v>10</v>
      </c>
      <c r="F25" s="708">
        <v>0</v>
      </c>
      <c r="G25" s="708">
        <v>0</v>
      </c>
      <c r="H25" s="706">
        <f t="shared" si="4"/>
        <v>20</v>
      </c>
      <c r="I25" s="706">
        <f t="shared" si="5"/>
        <v>15</v>
      </c>
      <c r="J25" s="707">
        <v>6</v>
      </c>
      <c r="K25" s="707">
        <v>0</v>
      </c>
      <c r="L25" s="707">
        <v>8</v>
      </c>
      <c r="M25" s="707">
        <v>1</v>
      </c>
      <c r="N25" s="707">
        <v>0</v>
      </c>
      <c r="O25" s="707">
        <v>0</v>
      </c>
      <c r="P25" s="709">
        <v>0</v>
      </c>
      <c r="Q25" s="710">
        <v>5</v>
      </c>
      <c r="R25" s="711">
        <f t="shared" si="6"/>
        <v>14</v>
      </c>
      <c r="S25" s="712">
        <f t="shared" si="7"/>
        <v>40</v>
      </c>
      <c r="T25" s="340">
        <f t="shared" si="2"/>
        <v>0</v>
      </c>
    </row>
    <row r="26" spans="1:20" ht="21" customHeight="1" thickTop="1">
      <c r="A26" s="203" t="s">
        <v>1</v>
      </c>
      <c r="B26" s="204" t="s">
        <v>14</v>
      </c>
      <c r="C26" s="336">
        <f aca="true" t="shared" si="8" ref="C26:Q26">C27+C38+C43+C49+C55+C59+C62+C68+C73+C77</f>
        <v>10685</v>
      </c>
      <c r="D26" s="336">
        <f t="shared" si="8"/>
        <v>5532</v>
      </c>
      <c r="E26" s="336">
        <f t="shared" si="8"/>
        <v>5153</v>
      </c>
      <c r="F26" s="336">
        <f t="shared" si="8"/>
        <v>98</v>
      </c>
      <c r="G26" s="336">
        <f t="shared" si="8"/>
        <v>11</v>
      </c>
      <c r="H26" s="336">
        <f t="shared" si="8"/>
        <v>10587</v>
      </c>
      <c r="I26" s="336">
        <f t="shared" si="8"/>
        <v>9124</v>
      </c>
      <c r="J26" s="336">
        <f t="shared" si="8"/>
        <v>3763</v>
      </c>
      <c r="K26" s="336">
        <f t="shared" si="8"/>
        <v>148</v>
      </c>
      <c r="L26" s="336">
        <f t="shared" si="8"/>
        <v>4693</v>
      </c>
      <c r="M26" s="336">
        <f t="shared" si="8"/>
        <v>130</v>
      </c>
      <c r="N26" s="336">
        <f t="shared" si="8"/>
        <v>24</v>
      </c>
      <c r="O26" s="336">
        <f t="shared" si="8"/>
        <v>0</v>
      </c>
      <c r="P26" s="336">
        <f t="shared" si="8"/>
        <v>366</v>
      </c>
      <c r="Q26" s="336">
        <f t="shared" si="8"/>
        <v>1463</v>
      </c>
      <c r="R26" s="351">
        <f>L26+M26+N26+O26+P26+Q26</f>
        <v>6676</v>
      </c>
      <c r="S26" s="334">
        <f t="shared" si="7"/>
        <v>42.86497150372644</v>
      </c>
      <c r="T26" s="340">
        <f t="shared" si="2"/>
        <v>0</v>
      </c>
    </row>
    <row r="27" spans="1:20" ht="18.75" customHeight="1">
      <c r="A27" s="201" t="s">
        <v>37</v>
      </c>
      <c r="B27" s="202" t="s">
        <v>286</v>
      </c>
      <c r="C27" s="208">
        <f>SUM(C28:C37)</f>
        <v>2031</v>
      </c>
      <c r="D27" s="208">
        <f aca="true" t="shared" si="9" ref="D27:Q27">SUM(D28:D37)</f>
        <v>1356</v>
      </c>
      <c r="E27" s="208">
        <f t="shared" si="9"/>
        <v>675</v>
      </c>
      <c r="F27" s="208">
        <f t="shared" si="9"/>
        <v>17</v>
      </c>
      <c r="G27" s="208">
        <f t="shared" si="9"/>
        <v>1</v>
      </c>
      <c r="H27" s="208">
        <f t="shared" si="9"/>
        <v>2014</v>
      </c>
      <c r="I27" s="208">
        <f t="shared" si="9"/>
        <v>1665</v>
      </c>
      <c r="J27" s="208">
        <f t="shared" si="9"/>
        <v>493</v>
      </c>
      <c r="K27" s="208">
        <f t="shared" si="9"/>
        <v>44</v>
      </c>
      <c r="L27" s="208">
        <f t="shared" si="9"/>
        <v>1023</v>
      </c>
      <c r="M27" s="208">
        <f t="shared" si="9"/>
        <v>26</v>
      </c>
      <c r="N27" s="208">
        <f t="shared" si="9"/>
        <v>23</v>
      </c>
      <c r="O27" s="208">
        <f t="shared" si="9"/>
        <v>0</v>
      </c>
      <c r="P27" s="208">
        <f t="shared" si="9"/>
        <v>56</v>
      </c>
      <c r="Q27" s="208">
        <f t="shared" si="9"/>
        <v>349</v>
      </c>
      <c r="R27" s="351">
        <f>L27+M27+N27+O27+P27+Q27</f>
        <v>1477</v>
      </c>
      <c r="S27" s="333">
        <f t="shared" si="7"/>
        <v>32.25225225225225</v>
      </c>
      <c r="T27" s="340">
        <f t="shared" si="2"/>
        <v>0</v>
      </c>
    </row>
    <row r="28" spans="1:20" ht="17.25" customHeight="1">
      <c r="A28" s="119" t="s">
        <v>39</v>
      </c>
      <c r="B28" s="697" t="s">
        <v>276</v>
      </c>
      <c r="C28" s="713">
        <f>D28+E28</f>
        <v>104</v>
      </c>
      <c r="D28" s="714">
        <v>65</v>
      </c>
      <c r="E28" s="714">
        <v>39</v>
      </c>
      <c r="F28" s="715">
        <v>2</v>
      </c>
      <c r="G28" s="715">
        <v>0</v>
      </c>
      <c r="H28" s="208">
        <f>I28+Q28</f>
        <v>102</v>
      </c>
      <c r="I28" s="208">
        <f>J28+K28+L28+M28+N28+O28+P28</f>
        <v>96</v>
      </c>
      <c r="J28" s="714">
        <v>30</v>
      </c>
      <c r="K28" s="714">
        <v>1</v>
      </c>
      <c r="L28" s="714">
        <v>33</v>
      </c>
      <c r="M28" s="714">
        <v>17</v>
      </c>
      <c r="N28" s="714">
        <v>3</v>
      </c>
      <c r="O28" s="714">
        <v>0</v>
      </c>
      <c r="P28" s="716">
        <v>12</v>
      </c>
      <c r="Q28" s="717">
        <v>6</v>
      </c>
      <c r="R28" s="718">
        <f aca="true" t="shared" si="10" ref="R28:R79">L28+M28+N28+O28+P28+Q28</f>
        <v>71</v>
      </c>
      <c r="S28" s="703">
        <f t="shared" si="7"/>
        <v>32.29166666666667</v>
      </c>
      <c r="T28" s="340">
        <f t="shared" si="2"/>
        <v>0</v>
      </c>
    </row>
    <row r="29" spans="1:20" ht="17.25" customHeight="1">
      <c r="A29" s="119" t="s">
        <v>40</v>
      </c>
      <c r="B29" s="697" t="s">
        <v>277</v>
      </c>
      <c r="C29" s="713">
        <f aca="true" t="shared" si="11" ref="C29:C79">D29+E29</f>
        <v>231</v>
      </c>
      <c r="D29" s="714">
        <v>208</v>
      </c>
      <c r="E29" s="714">
        <v>23</v>
      </c>
      <c r="F29" s="715">
        <v>0</v>
      </c>
      <c r="G29" s="715">
        <v>0</v>
      </c>
      <c r="H29" s="208">
        <f aca="true" t="shared" si="12" ref="H29:H79">I29+Q29</f>
        <v>231</v>
      </c>
      <c r="I29" s="208">
        <f aca="true" t="shared" si="13" ref="I29:I79">J29+K29+L29+M29+N29+O29+P29</f>
        <v>218</v>
      </c>
      <c r="J29" s="714">
        <v>27</v>
      </c>
      <c r="K29" s="714">
        <v>3</v>
      </c>
      <c r="L29" s="714">
        <v>183</v>
      </c>
      <c r="M29" s="714">
        <v>3</v>
      </c>
      <c r="N29" s="714">
        <v>2</v>
      </c>
      <c r="O29" s="714">
        <v>0</v>
      </c>
      <c r="P29" s="716">
        <v>0</v>
      </c>
      <c r="Q29" s="717">
        <v>13</v>
      </c>
      <c r="R29" s="718">
        <f t="shared" si="10"/>
        <v>201</v>
      </c>
      <c r="S29" s="703">
        <f t="shared" si="7"/>
        <v>13.761467889908257</v>
      </c>
      <c r="T29" s="340">
        <f t="shared" si="2"/>
        <v>0</v>
      </c>
    </row>
    <row r="30" spans="1:20" ht="18" customHeight="1">
      <c r="A30" s="119" t="s">
        <v>110</v>
      </c>
      <c r="B30" s="697" t="s">
        <v>278</v>
      </c>
      <c r="C30" s="713">
        <f t="shared" si="11"/>
        <v>199</v>
      </c>
      <c r="D30" s="714">
        <v>152</v>
      </c>
      <c r="E30" s="714">
        <v>47</v>
      </c>
      <c r="F30" s="715">
        <v>0</v>
      </c>
      <c r="G30" s="715">
        <v>0</v>
      </c>
      <c r="H30" s="208">
        <f t="shared" si="12"/>
        <v>199</v>
      </c>
      <c r="I30" s="208">
        <f t="shared" si="13"/>
        <v>163</v>
      </c>
      <c r="J30" s="714">
        <v>27</v>
      </c>
      <c r="K30" s="714">
        <v>8</v>
      </c>
      <c r="L30" s="714">
        <v>100</v>
      </c>
      <c r="M30" s="714">
        <v>1</v>
      </c>
      <c r="N30" s="714">
        <v>6</v>
      </c>
      <c r="O30" s="714">
        <v>0</v>
      </c>
      <c r="P30" s="716">
        <v>21</v>
      </c>
      <c r="Q30" s="717">
        <v>36</v>
      </c>
      <c r="R30" s="718">
        <f t="shared" si="10"/>
        <v>164</v>
      </c>
      <c r="S30" s="703">
        <f t="shared" si="7"/>
        <v>21.472392638036812</v>
      </c>
      <c r="T30" s="340">
        <f t="shared" si="2"/>
        <v>0</v>
      </c>
    </row>
    <row r="31" spans="1:20" ht="17.25" customHeight="1">
      <c r="A31" s="119" t="s">
        <v>112</v>
      </c>
      <c r="B31" s="697" t="s">
        <v>279</v>
      </c>
      <c r="C31" s="713">
        <f t="shared" si="11"/>
        <v>246</v>
      </c>
      <c r="D31" s="714">
        <v>171</v>
      </c>
      <c r="E31" s="714">
        <v>75</v>
      </c>
      <c r="F31" s="715">
        <v>3</v>
      </c>
      <c r="G31" s="715">
        <v>0</v>
      </c>
      <c r="H31" s="208">
        <f t="shared" si="12"/>
        <v>243</v>
      </c>
      <c r="I31" s="208">
        <f t="shared" si="13"/>
        <v>198</v>
      </c>
      <c r="J31" s="714">
        <v>54</v>
      </c>
      <c r="K31" s="714">
        <v>9</v>
      </c>
      <c r="L31" s="714">
        <v>132</v>
      </c>
      <c r="M31" s="714">
        <v>1</v>
      </c>
      <c r="N31" s="714">
        <v>0</v>
      </c>
      <c r="O31" s="714">
        <v>0</v>
      </c>
      <c r="P31" s="716">
        <v>2</v>
      </c>
      <c r="Q31" s="717">
        <v>45</v>
      </c>
      <c r="R31" s="718">
        <f t="shared" si="10"/>
        <v>180</v>
      </c>
      <c r="S31" s="703">
        <f t="shared" si="7"/>
        <v>31.818181818181817</v>
      </c>
      <c r="T31" s="340">
        <f t="shared" si="2"/>
        <v>0</v>
      </c>
    </row>
    <row r="32" spans="1:20" ht="18.75" customHeight="1">
      <c r="A32" s="119" t="s">
        <v>114</v>
      </c>
      <c r="B32" s="697" t="s">
        <v>280</v>
      </c>
      <c r="C32" s="713">
        <f t="shared" si="11"/>
        <v>232</v>
      </c>
      <c r="D32" s="714">
        <v>189</v>
      </c>
      <c r="E32" s="714">
        <v>43</v>
      </c>
      <c r="F32" s="715">
        <v>0</v>
      </c>
      <c r="G32" s="715">
        <v>0</v>
      </c>
      <c r="H32" s="208">
        <f t="shared" si="12"/>
        <v>232</v>
      </c>
      <c r="I32" s="208">
        <f t="shared" si="13"/>
        <v>173</v>
      </c>
      <c r="J32" s="714">
        <v>24</v>
      </c>
      <c r="K32" s="714">
        <v>9</v>
      </c>
      <c r="L32" s="714">
        <v>128</v>
      </c>
      <c r="M32" s="714">
        <v>1</v>
      </c>
      <c r="N32" s="714">
        <v>0</v>
      </c>
      <c r="O32" s="714">
        <v>0</v>
      </c>
      <c r="P32" s="716">
        <v>11</v>
      </c>
      <c r="Q32" s="717">
        <v>59</v>
      </c>
      <c r="R32" s="718">
        <f t="shared" si="10"/>
        <v>199</v>
      </c>
      <c r="S32" s="703">
        <f t="shared" si="7"/>
        <v>19.07514450867052</v>
      </c>
      <c r="T32" s="340">
        <f t="shared" si="2"/>
        <v>0</v>
      </c>
    </row>
    <row r="33" spans="1:20" ht="18.75" customHeight="1">
      <c r="A33" s="119" t="s">
        <v>116</v>
      </c>
      <c r="B33" s="697" t="s">
        <v>281</v>
      </c>
      <c r="C33" s="713">
        <f t="shared" si="11"/>
        <v>226</v>
      </c>
      <c r="D33" s="714">
        <v>190</v>
      </c>
      <c r="E33" s="714">
        <v>36</v>
      </c>
      <c r="F33" s="715">
        <v>0</v>
      </c>
      <c r="G33" s="715">
        <v>1</v>
      </c>
      <c r="H33" s="208">
        <f t="shared" si="12"/>
        <v>226</v>
      </c>
      <c r="I33" s="208">
        <f t="shared" si="13"/>
        <v>173</v>
      </c>
      <c r="J33" s="714">
        <v>32</v>
      </c>
      <c r="K33" s="714">
        <v>3</v>
      </c>
      <c r="L33" s="714">
        <v>124</v>
      </c>
      <c r="M33" s="714">
        <v>3</v>
      </c>
      <c r="N33" s="714">
        <v>11</v>
      </c>
      <c r="O33" s="714">
        <v>0</v>
      </c>
      <c r="P33" s="716">
        <v>0</v>
      </c>
      <c r="Q33" s="717">
        <v>53</v>
      </c>
      <c r="R33" s="718">
        <f t="shared" si="10"/>
        <v>191</v>
      </c>
      <c r="S33" s="703">
        <f t="shared" si="7"/>
        <v>20.23121387283237</v>
      </c>
      <c r="T33" s="340">
        <f t="shared" si="2"/>
        <v>0</v>
      </c>
    </row>
    <row r="34" spans="1:20" ht="18.75" customHeight="1">
      <c r="A34" s="119" t="s">
        <v>118</v>
      </c>
      <c r="B34" s="697" t="s">
        <v>282</v>
      </c>
      <c r="C34" s="713">
        <f t="shared" si="11"/>
        <v>153</v>
      </c>
      <c r="D34" s="714">
        <v>86</v>
      </c>
      <c r="E34" s="714">
        <v>67</v>
      </c>
      <c r="F34" s="715">
        <v>0</v>
      </c>
      <c r="G34" s="715">
        <v>0</v>
      </c>
      <c r="H34" s="208">
        <f t="shared" si="12"/>
        <v>153</v>
      </c>
      <c r="I34" s="208">
        <f t="shared" si="13"/>
        <v>126</v>
      </c>
      <c r="J34" s="714">
        <v>53</v>
      </c>
      <c r="K34" s="714">
        <v>1</v>
      </c>
      <c r="L34" s="714">
        <v>61</v>
      </c>
      <c r="M34" s="714">
        <v>0</v>
      </c>
      <c r="N34" s="714">
        <v>1</v>
      </c>
      <c r="O34" s="714">
        <v>0</v>
      </c>
      <c r="P34" s="716">
        <v>10</v>
      </c>
      <c r="Q34" s="717">
        <v>27</v>
      </c>
      <c r="R34" s="718">
        <f t="shared" si="10"/>
        <v>99</v>
      </c>
      <c r="S34" s="703">
        <f t="shared" si="7"/>
        <v>42.857142857142854</v>
      </c>
      <c r="T34" s="340">
        <f t="shared" si="2"/>
        <v>0</v>
      </c>
    </row>
    <row r="35" spans="1:20" ht="19.5" customHeight="1">
      <c r="A35" s="119" t="s">
        <v>154</v>
      </c>
      <c r="B35" s="697" t="s">
        <v>283</v>
      </c>
      <c r="C35" s="713">
        <f t="shared" si="11"/>
        <v>273</v>
      </c>
      <c r="D35" s="714">
        <v>147</v>
      </c>
      <c r="E35" s="714">
        <v>126</v>
      </c>
      <c r="F35" s="715">
        <v>4</v>
      </c>
      <c r="G35" s="715">
        <v>0</v>
      </c>
      <c r="H35" s="208">
        <f t="shared" si="12"/>
        <v>269</v>
      </c>
      <c r="I35" s="208">
        <f t="shared" si="13"/>
        <v>231</v>
      </c>
      <c r="J35" s="714">
        <v>101</v>
      </c>
      <c r="K35" s="714">
        <v>2</v>
      </c>
      <c r="L35" s="714">
        <v>128</v>
      </c>
      <c r="M35" s="714">
        <v>0</v>
      </c>
      <c r="N35" s="714">
        <v>0</v>
      </c>
      <c r="O35" s="714">
        <v>0</v>
      </c>
      <c r="P35" s="716">
        <v>0</v>
      </c>
      <c r="Q35" s="717">
        <v>38</v>
      </c>
      <c r="R35" s="718">
        <f t="shared" si="10"/>
        <v>166</v>
      </c>
      <c r="S35" s="703">
        <f t="shared" si="7"/>
        <v>44.58874458874459</v>
      </c>
      <c r="T35" s="340">
        <f t="shared" si="2"/>
        <v>0</v>
      </c>
    </row>
    <row r="36" spans="1:20" ht="18" customHeight="1">
      <c r="A36" s="119" t="s">
        <v>265</v>
      </c>
      <c r="B36" s="697" t="s">
        <v>284</v>
      </c>
      <c r="C36" s="713">
        <f t="shared" si="11"/>
        <v>256</v>
      </c>
      <c r="D36" s="714">
        <v>137</v>
      </c>
      <c r="E36" s="714">
        <v>119</v>
      </c>
      <c r="F36" s="715">
        <v>2</v>
      </c>
      <c r="G36" s="715">
        <v>0</v>
      </c>
      <c r="H36" s="208">
        <f t="shared" si="12"/>
        <v>254</v>
      </c>
      <c r="I36" s="208">
        <f t="shared" si="13"/>
        <v>185</v>
      </c>
      <c r="J36" s="714">
        <v>74</v>
      </c>
      <c r="K36" s="714">
        <v>4</v>
      </c>
      <c r="L36" s="714">
        <v>107</v>
      </c>
      <c r="M36" s="714">
        <v>0</v>
      </c>
      <c r="N36" s="714">
        <v>0</v>
      </c>
      <c r="O36" s="714">
        <v>0</v>
      </c>
      <c r="P36" s="716">
        <v>0</v>
      </c>
      <c r="Q36" s="717">
        <v>69</v>
      </c>
      <c r="R36" s="718">
        <f t="shared" si="10"/>
        <v>176</v>
      </c>
      <c r="S36" s="703">
        <f t="shared" si="7"/>
        <v>42.16216216216216</v>
      </c>
      <c r="T36" s="340">
        <f t="shared" si="2"/>
        <v>0</v>
      </c>
    </row>
    <row r="37" spans="1:20" ht="19.5" customHeight="1" thickBot="1">
      <c r="A37" s="331" t="s">
        <v>266</v>
      </c>
      <c r="B37" s="719" t="s">
        <v>285</v>
      </c>
      <c r="C37" s="720">
        <f t="shared" si="11"/>
        <v>111</v>
      </c>
      <c r="D37" s="721">
        <v>11</v>
      </c>
      <c r="E37" s="721">
        <v>100</v>
      </c>
      <c r="F37" s="722">
        <v>6</v>
      </c>
      <c r="G37" s="722">
        <v>0</v>
      </c>
      <c r="H37" s="706">
        <f t="shared" si="12"/>
        <v>105</v>
      </c>
      <c r="I37" s="706">
        <f t="shared" si="13"/>
        <v>102</v>
      </c>
      <c r="J37" s="721">
        <v>71</v>
      </c>
      <c r="K37" s="721">
        <v>4</v>
      </c>
      <c r="L37" s="721">
        <v>27</v>
      </c>
      <c r="M37" s="721">
        <v>0</v>
      </c>
      <c r="N37" s="721">
        <v>0</v>
      </c>
      <c r="O37" s="721">
        <v>0</v>
      </c>
      <c r="P37" s="723">
        <v>0</v>
      </c>
      <c r="Q37" s="724">
        <v>3</v>
      </c>
      <c r="R37" s="711">
        <f t="shared" si="10"/>
        <v>30</v>
      </c>
      <c r="S37" s="712">
        <f t="shared" si="7"/>
        <v>73.52941176470588</v>
      </c>
      <c r="T37" s="340">
        <f t="shared" si="2"/>
        <v>0</v>
      </c>
    </row>
    <row r="38" spans="1:20" ht="19.5" customHeight="1" thickTop="1">
      <c r="A38" s="203" t="s">
        <v>38</v>
      </c>
      <c r="B38" s="204" t="s">
        <v>287</v>
      </c>
      <c r="C38" s="336">
        <f t="shared" si="11"/>
        <v>1489</v>
      </c>
      <c r="D38" s="336">
        <f>SUM(D39:D42)</f>
        <v>855</v>
      </c>
      <c r="E38" s="336">
        <f>SUM(E39:E42)</f>
        <v>634</v>
      </c>
      <c r="F38" s="336">
        <f>SUM(F39:F42)</f>
        <v>26</v>
      </c>
      <c r="G38" s="336">
        <f>SUM(G39:G42)</f>
        <v>4</v>
      </c>
      <c r="H38" s="336">
        <f t="shared" si="12"/>
        <v>1463</v>
      </c>
      <c r="I38" s="336">
        <f t="shared" si="13"/>
        <v>1152</v>
      </c>
      <c r="J38" s="336">
        <f>SUM(J39:J42)</f>
        <v>417</v>
      </c>
      <c r="K38" s="336">
        <f aca="true" t="shared" si="14" ref="K38:Q38">SUM(K39:K42)</f>
        <v>15</v>
      </c>
      <c r="L38" s="336">
        <f t="shared" si="14"/>
        <v>459</v>
      </c>
      <c r="M38" s="336">
        <f t="shared" si="14"/>
        <v>11</v>
      </c>
      <c r="N38" s="336">
        <f t="shared" si="14"/>
        <v>0</v>
      </c>
      <c r="O38" s="336">
        <f t="shared" si="14"/>
        <v>0</v>
      </c>
      <c r="P38" s="336">
        <f t="shared" si="14"/>
        <v>250</v>
      </c>
      <c r="Q38" s="336">
        <f t="shared" si="14"/>
        <v>311</v>
      </c>
      <c r="R38" s="351">
        <f t="shared" si="10"/>
        <v>1031</v>
      </c>
      <c r="S38" s="335">
        <f t="shared" si="7"/>
        <v>37.5</v>
      </c>
      <c r="T38" s="340">
        <f t="shared" si="2"/>
        <v>0</v>
      </c>
    </row>
    <row r="39" spans="1:20" ht="18.75" customHeight="1">
      <c r="A39" s="205">
        <v>2.1</v>
      </c>
      <c r="B39" s="725" t="s">
        <v>288</v>
      </c>
      <c r="C39" s="208">
        <f t="shared" si="11"/>
        <v>470</v>
      </c>
      <c r="D39" s="714">
        <v>334</v>
      </c>
      <c r="E39" s="714">
        <v>136</v>
      </c>
      <c r="F39" s="715">
        <v>2</v>
      </c>
      <c r="G39" s="715">
        <v>0</v>
      </c>
      <c r="H39" s="208">
        <f t="shared" si="12"/>
        <v>468</v>
      </c>
      <c r="I39" s="208">
        <f t="shared" si="13"/>
        <v>343</v>
      </c>
      <c r="J39" s="714">
        <v>93</v>
      </c>
      <c r="K39" s="714">
        <v>3</v>
      </c>
      <c r="L39" s="714">
        <v>107</v>
      </c>
      <c r="M39" s="714">
        <v>1</v>
      </c>
      <c r="N39" s="714">
        <v>0</v>
      </c>
      <c r="O39" s="714">
        <v>0</v>
      </c>
      <c r="P39" s="716">
        <v>139</v>
      </c>
      <c r="Q39" s="726">
        <v>125</v>
      </c>
      <c r="R39" s="718">
        <f t="shared" si="10"/>
        <v>372</v>
      </c>
      <c r="S39" s="703">
        <f t="shared" si="7"/>
        <v>27.988338192419825</v>
      </c>
      <c r="T39" s="340">
        <f t="shared" si="2"/>
        <v>0</v>
      </c>
    </row>
    <row r="40" spans="1:20" ht="18.75" customHeight="1">
      <c r="A40" s="205">
        <v>2.2</v>
      </c>
      <c r="B40" s="697" t="s">
        <v>289</v>
      </c>
      <c r="C40" s="208">
        <f t="shared" si="11"/>
        <v>387</v>
      </c>
      <c r="D40" s="714">
        <v>224</v>
      </c>
      <c r="E40" s="714">
        <v>163</v>
      </c>
      <c r="F40" s="715">
        <v>4</v>
      </c>
      <c r="G40" s="715">
        <v>3</v>
      </c>
      <c r="H40" s="208">
        <f t="shared" si="12"/>
        <v>383</v>
      </c>
      <c r="I40" s="208">
        <f t="shared" si="13"/>
        <v>296</v>
      </c>
      <c r="J40" s="714">
        <v>87</v>
      </c>
      <c r="K40" s="714">
        <v>11</v>
      </c>
      <c r="L40" s="714">
        <v>115</v>
      </c>
      <c r="M40" s="714">
        <v>4</v>
      </c>
      <c r="N40" s="714">
        <v>0</v>
      </c>
      <c r="O40" s="714">
        <v>0</v>
      </c>
      <c r="P40" s="716">
        <v>79</v>
      </c>
      <c r="Q40" s="726">
        <v>87</v>
      </c>
      <c r="R40" s="718">
        <f t="shared" si="10"/>
        <v>285</v>
      </c>
      <c r="S40" s="703">
        <f t="shared" si="7"/>
        <v>33.108108108108105</v>
      </c>
      <c r="T40" s="340">
        <f t="shared" si="2"/>
        <v>0</v>
      </c>
    </row>
    <row r="41" spans="1:20" ht="18" customHeight="1">
      <c r="A41" s="205">
        <v>2.3</v>
      </c>
      <c r="B41" s="697" t="s">
        <v>290</v>
      </c>
      <c r="C41" s="208">
        <f t="shared" si="11"/>
        <v>277</v>
      </c>
      <c r="D41" s="714">
        <v>131</v>
      </c>
      <c r="E41" s="714">
        <v>146</v>
      </c>
      <c r="F41" s="715">
        <v>5</v>
      </c>
      <c r="G41" s="715">
        <v>1</v>
      </c>
      <c r="H41" s="208">
        <f t="shared" si="12"/>
        <v>272</v>
      </c>
      <c r="I41" s="208">
        <f t="shared" si="13"/>
        <v>253</v>
      </c>
      <c r="J41" s="714">
        <v>136</v>
      </c>
      <c r="K41" s="714">
        <v>0</v>
      </c>
      <c r="L41" s="714">
        <v>117</v>
      </c>
      <c r="M41" s="714">
        <v>0</v>
      </c>
      <c r="N41" s="714">
        <v>0</v>
      </c>
      <c r="O41" s="714">
        <v>0</v>
      </c>
      <c r="P41" s="716">
        <v>0</v>
      </c>
      <c r="Q41" s="726">
        <v>19</v>
      </c>
      <c r="R41" s="718">
        <f t="shared" si="10"/>
        <v>136</v>
      </c>
      <c r="S41" s="703">
        <f t="shared" si="7"/>
        <v>53.75494071146245</v>
      </c>
      <c r="T41" s="340">
        <f t="shared" si="2"/>
        <v>0</v>
      </c>
    </row>
    <row r="42" spans="1:20" ht="18" customHeight="1" thickBot="1">
      <c r="A42" s="330">
        <v>2.4</v>
      </c>
      <c r="B42" s="727" t="s">
        <v>395</v>
      </c>
      <c r="C42" s="706">
        <f t="shared" si="11"/>
        <v>355</v>
      </c>
      <c r="D42" s="721">
        <v>166</v>
      </c>
      <c r="E42" s="721">
        <v>189</v>
      </c>
      <c r="F42" s="722">
        <v>15</v>
      </c>
      <c r="G42" s="722">
        <v>0</v>
      </c>
      <c r="H42" s="706">
        <f t="shared" si="12"/>
        <v>340</v>
      </c>
      <c r="I42" s="706">
        <f t="shared" si="13"/>
        <v>260</v>
      </c>
      <c r="J42" s="721">
        <v>101</v>
      </c>
      <c r="K42" s="721">
        <v>1</v>
      </c>
      <c r="L42" s="721">
        <v>120</v>
      </c>
      <c r="M42" s="721">
        <v>6</v>
      </c>
      <c r="N42" s="721">
        <v>0</v>
      </c>
      <c r="O42" s="721">
        <v>0</v>
      </c>
      <c r="P42" s="723">
        <v>32</v>
      </c>
      <c r="Q42" s="728">
        <v>80</v>
      </c>
      <c r="R42" s="711">
        <f t="shared" si="10"/>
        <v>238</v>
      </c>
      <c r="S42" s="712">
        <f t="shared" si="7"/>
        <v>39.23076923076923</v>
      </c>
      <c r="T42" s="340">
        <f t="shared" si="2"/>
        <v>0</v>
      </c>
    </row>
    <row r="43" spans="1:20" ht="17.25" customHeight="1" thickTop="1">
      <c r="A43" s="203" t="s">
        <v>43</v>
      </c>
      <c r="B43" s="204" t="s">
        <v>291</v>
      </c>
      <c r="C43" s="336">
        <f t="shared" si="11"/>
        <v>1627</v>
      </c>
      <c r="D43" s="336">
        <f>SUM(D44:D48)</f>
        <v>736</v>
      </c>
      <c r="E43" s="336">
        <f>SUM(E44:E48)</f>
        <v>891</v>
      </c>
      <c r="F43" s="336">
        <f>SUM(F44:F48)</f>
        <v>6</v>
      </c>
      <c r="G43" s="336">
        <f>SUM(G44:G48)</f>
        <v>0</v>
      </c>
      <c r="H43" s="336">
        <f t="shared" si="12"/>
        <v>1621</v>
      </c>
      <c r="I43" s="336">
        <f t="shared" si="13"/>
        <v>1417</v>
      </c>
      <c r="J43" s="336">
        <f>SUM(J44:J48)</f>
        <v>695</v>
      </c>
      <c r="K43" s="336">
        <f aca="true" t="shared" si="15" ref="K43:Q43">SUM(K44:K48)</f>
        <v>19</v>
      </c>
      <c r="L43" s="336">
        <f t="shared" si="15"/>
        <v>626</v>
      </c>
      <c r="M43" s="336">
        <f t="shared" si="15"/>
        <v>38</v>
      </c>
      <c r="N43" s="336">
        <f t="shared" si="15"/>
        <v>1</v>
      </c>
      <c r="O43" s="336">
        <f t="shared" si="15"/>
        <v>0</v>
      </c>
      <c r="P43" s="336">
        <f t="shared" si="15"/>
        <v>38</v>
      </c>
      <c r="Q43" s="336">
        <f t="shared" si="15"/>
        <v>204</v>
      </c>
      <c r="R43" s="351">
        <f t="shared" si="10"/>
        <v>907</v>
      </c>
      <c r="S43" s="334">
        <f t="shared" si="7"/>
        <v>50.38814396612562</v>
      </c>
      <c r="T43" s="340">
        <f t="shared" si="2"/>
        <v>0</v>
      </c>
    </row>
    <row r="44" spans="1:20" ht="18.75" customHeight="1">
      <c r="A44" s="205">
        <v>3.1</v>
      </c>
      <c r="B44" s="729" t="s">
        <v>292</v>
      </c>
      <c r="C44" s="208">
        <f t="shared" si="11"/>
        <v>218</v>
      </c>
      <c r="D44" s="730">
        <v>96</v>
      </c>
      <c r="E44" s="730">
        <v>122</v>
      </c>
      <c r="F44" s="731">
        <v>6</v>
      </c>
      <c r="G44" s="731">
        <v>0</v>
      </c>
      <c r="H44" s="208">
        <f t="shared" si="12"/>
        <v>212</v>
      </c>
      <c r="I44" s="208">
        <f t="shared" si="13"/>
        <v>200</v>
      </c>
      <c r="J44" s="730">
        <v>150</v>
      </c>
      <c r="K44" s="730">
        <v>11</v>
      </c>
      <c r="L44" s="730">
        <v>12</v>
      </c>
      <c r="M44" s="730">
        <v>24</v>
      </c>
      <c r="N44" s="730">
        <v>0</v>
      </c>
      <c r="O44" s="730">
        <v>0</v>
      </c>
      <c r="P44" s="730">
        <v>3</v>
      </c>
      <c r="Q44" s="336">
        <v>12</v>
      </c>
      <c r="R44" s="718">
        <f t="shared" si="10"/>
        <v>51</v>
      </c>
      <c r="S44" s="703">
        <f t="shared" si="7"/>
        <v>80.5</v>
      </c>
      <c r="T44" s="340">
        <f t="shared" si="2"/>
        <v>0</v>
      </c>
    </row>
    <row r="45" spans="1:20" ht="18" customHeight="1">
      <c r="A45" s="205">
        <v>3.2</v>
      </c>
      <c r="B45" s="732" t="s">
        <v>293</v>
      </c>
      <c r="C45" s="208">
        <f t="shared" si="11"/>
        <v>366</v>
      </c>
      <c r="D45" s="730">
        <v>188</v>
      </c>
      <c r="E45" s="730">
        <v>178</v>
      </c>
      <c r="F45" s="731">
        <v>0</v>
      </c>
      <c r="G45" s="731">
        <v>0</v>
      </c>
      <c r="H45" s="208">
        <f t="shared" si="12"/>
        <v>366</v>
      </c>
      <c r="I45" s="208">
        <f t="shared" si="13"/>
        <v>323</v>
      </c>
      <c r="J45" s="730">
        <v>131</v>
      </c>
      <c r="K45" s="730">
        <v>4</v>
      </c>
      <c r="L45" s="730">
        <v>188</v>
      </c>
      <c r="M45" s="730">
        <v>0</v>
      </c>
      <c r="N45" s="730">
        <v>0</v>
      </c>
      <c r="O45" s="730">
        <v>0</v>
      </c>
      <c r="P45" s="730">
        <v>0</v>
      </c>
      <c r="Q45" s="336">
        <v>43</v>
      </c>
      <c r="R45" s="718">
        <f t="shared" si="10"/>
        <v>231</v>
      </c>
      <c r="S45" s="703">
        <f t="shared" si="7"/>
        <v>41.795665634674926</v>
      </c>
      <c r="T45" s="340">
        <f t="shared" si="2"/>
        <v>0</v>
      </c>
    </row>
    <row r="46" spans="1:20" ht="18.75" customHeight="1">
      <c r="A46" s="205">
        <v>3.3</v>
      </c>
      <c r="B46" s="732" t="s">
        <v>294</v>
      </c>
      <c r="C46" s="208">
        <f t="shared" si="11"/>
        <v>343</v>
      </c>
      <c r="D46" s="730">
        <v>206</v>
      </c>
      <c r="E46" s="730">
        <v>137</v>
      </c>
      <c r="F46" s="731">
        <v>0</v>
      </c>
      <c r="G46" s="731">
        <v>0</v>
      </c>
      <c r="H46" s="208">
        <f t="shared" si="12"/>
        <v>343</v>
      </c>
      <c r="I46" s="208">
        <f t="shared" si="13"/>
        <v>296</v>
      </c>
      <c r="J46" s="730">
        <v>104</v>
      </c>
      <c r="K46" s="730">
        <v>1</v>
      </c>
      <c r="L46" s="730">
        <v>180</v>
      </c>
      <c r="M46" s="730">
        <v>11</v>
      </c>
      <c r="N46" s="730">
        <v>0</v>
      </c>
      <c r="O46" s="730">
        <v>0</v>
      </c>
      <c r="P46" s="730">
        <v>0</v>
      </c>
      <c r="Q46" s="336">
        <v>47</v>
      </c>
      <c r="R46" s="718">
        <f t="shared" si="10"/>
        <v>238</v>
      </c>
      <c r="S46" s="703">
        <f t="shared" si="7"/>
        <v>35.47297297297297</v>
      </c>
      <c r="T46" s="340">
        <f t="shared" si="2"/>
        <v>0</v>
      </c>
    </row>
    <row r="47" spans="1:20" ht="18" customHeight="1">
      <c r="A47" s="205">
        <v>3.4</v>
      </c>
      <c r="B47" s="733" t="s">
        <v>295</v>
      </c>
      <c r="C47" s="208">
        <f t="shared" si="11"/>
        <v>350</v>
      </c>
      <c r="D47" s="730">
        <v>147</v>
      </c>
      <c r="E47" s="730">
        <v>203</v>
      </c>
      <c r="F47" s="731">
        <v>0</v>
      </c>
      <c r="G47" s="731">
        <v>0</v>
      </c>
      <c r="H47" s="208">
        <f t="shared" si="12"/>
        <v>350</v>
      </c>
      <c r="I47" s="208">
        <f t="shared" si="13"/>
        <v>274</v>
      </c>
      <c r="J47" s="730">
        <v>156</v>
      </c>
      <c r="K47" s="730">
        <v>3</v>
      </c>
      <c r="L47" s="730">
        <v>94</v>
      </c>
      <c r="M47" s="730">
        <v>3</v>
      </c>
      <c r="N47" s="730">
        <v>0</v>
      </c>
      <c r="O47" s="730">
        <v>0</v>
      </c>
      <c r="P47" s="730">
        <v>18</v>
      </c>
      <c r="Q47" s="336">
        <v>76</v>
      </c>
      <c r="R47" s="718">
        <f t="shared" si="10"/>
        <v>191</v>
      </c>
      <c r="S47" s="703">
        <f t="shared" si="7"/>
        <v>58.02919708029197</v>
      </c>
      <c r="T47" s="340">
        <f t="shared" si="2"/>
        <v>0</v>
      </c>
    </row>
    <row r="48" spans="1:20" ht="18" customHeight="1" thickBot="1">
      <c r="A48" s="330">
        <v>3.5</v>
      </c>
      <c r="B48" s="734" t="s">
        <v>296</v>
      </c>
      <c r="C48" s="706">
        <f t="shared" si="11"/>
        <v>350</v>
      </c>
      <c r="D48" s="707">
        <v>99</v>
      </c>
      <c r="E48" s="707">
        <v>251</v>
      </c>
      <c r="F48" s="708">
        <v>0</v>
      </c>
      <c r="G48" s="708">
        <v>0</v>
      </c>
      <c r="H48" s="706">
        <f t="shared" si="12"/>
        <v>350</v>
      </c>
      <c r="I48" s="706">
        <f t="shared" si="13"/>
        <v>324</v>
      </c>
      <c r="J48" s="707">
        <v>154</v>
      </c>
      <c r="K48" s="707">
        <v>0</v>
      </c>
      <c r="L48" s="707">
        <v>152</v>
      </c>
      <c r="M48" s="707">
        <v>0</v>
      </c>
      <c r="N48" s="707">
        <v>1</v>
      </c>
      <c r="O48" s="707">
        <v>0</v>
      </c>
      <c r="P48" s="707">
        <v>17</v>
      </c>
      <c r="Q48" s="706">
        <v>26</v>
      </c>
      <c r="R48" s="711">
        <f t="shared" si="10"/>
        <v>196</v>
      </c>
      <c r="S48" s="712">
        <f t="shared" si="7"/>
        <v>47.53086419753087</v>
      </c>
      <c r="T48" s="340">
        <f t="shared" si="2"/>
        <v>0</v>
      </c>
    </row>
    <row r="49" spans="1:20" ht="18.75" customHeight="1" thickTop="1">
      <c r="A49" s="203" t="s">
        <v>62</v>
      </c>
      <c r="B49" s="204" t="s">
        <v>297</v>
      </c>
      <c r="C49" s="336">
        <f t="shared" si="11"/>
        <v>604</v>
      </c>
      <c r="D49" s="336">
        <f>SUM(D50:D54)</f>
        <v>224</v>
      </c>
      <c r="E49" s="336">
        <f>SUM(E50:E54)</f>
        <v>380</v>
      </c>
      <c r="F49" s="336">
        <f>SUM(F50:F54)</f>
        <v>2</v>
      </c>
      <c r="G49" s="336">
        <f>SUM(G50:G54)</f>
        <v>0</v>
      </c>
      <c r="H49" s="336">
        <f t="shared" si="12"/>
        <v>602</v>
      </c>
      <c r="I49" s="336">
        <f t="shared" si="13"/>
        <v>506</v>
      </c>
      <c r="J49" s="336">
        <f>SUM(J50:J54)</f>
        <v>286</v>
      </c>
      <c r="K49" s="336">
        <f aca="true" t="shared" si="16" ref="K49:Q49">SUM(K50:K54)</f>
        <v>8</v>
      </c>
      <c r="L49" s="336">
        <f t="shared" si="16"/>
        <v>190</v>
      </c>
      <c r="M49" s="336">
        <f t="shared" si="16"/>
        <v>9</v>
      </c>
      <c r="N49" s="336">
        <f t="shared" si="16"/>
        <v>0</v>
      </c>
      <c r="O49" s="336">
        <f t="shared" si="16"/>
        <v>0</v>
      </c>
      <c r="P49" s="336">
        <f t="shared" si="16"/>
        <v>13</v>
      </c>
      <c r="Q49" s="336">
        <f t="shared" si="16"/>
        <v>96</v>
      </c>
      <c r="R49" s="351">
        <f t="shared" si="10"/>
        <v>308</v>
      </c>
      <c r="S49" s="334">
        <f t="shared" si="7"/>
        <v>58.10276679841897</v>
      </c>
      <c r="T49" s="340">
        <f t="shared" si="2"/>
        <v>0</v>
      </c>
    </row>
    <row r="50" spans="1:20" ht="18.75" customHeight="1">
      <c r="A50" s="205">
        <v>4.1</v>
      </c>
      <c r="B50" s="697" t="s">
        <v>298</v>
      </c>
      <c r="C50" s="208">
        <f t="shared" si="11"/>
        <v>129</v>
      </c>
      <c r="D50" s="698">
        <v>52</v>
      </c>
      <c r="E50" s="698">
        <v>77</v>
      </c>
      <c r="F50" s="699">
        <v>0</v>
      </c>
      <c r="G50" s="699">
        <v>0</v>
      </c>
      <c r="H50" s="208">
        <f t="shared" si="12"/>
        <v>129</v>
      </c>
      <c r="I50" s="208">
        <f t="shared" si="13"/>
        <v>108</v>
      </c>
      <c r="J50" s="698">
        <v>64</v>
      </c>
      <c r="K50" s="698">
        <v>0</v>
      </c>
      <c r="L50" s="698">
        <v>39</v>
      </c>
      <c r="M50" s="698">
        <v>4</v>
      </c>
      <c r="N50" s="698">
        <v>0</v>
      </c>
      <c r="O50" s="698">
        <v>0</v>
      </c>
      <c r="P50" s="700">
        <v>1</v>
      </c>
      <c r="Q50" s="701">
        <v>21</v>
      </c>
      <c r="R50" s="718">
        <f t="shared" si="10"/>
        <v>65</v>
      </c>
      <c r="S50" s="703">
        <f t="shared" si="7"/>
        <v>59.25925925925925</v>
      </c>
      <c r="T50" s="340">
        <f t="shared" si="2"/>
        <v>0</v>
      </c>
    </row>
    <row r="51" spans="1:20" ht="18.75" customHeight="1">
      <c r="A51" s="205">
        <v>4.2</v>
      </c>
      <c r="B51" s="697" t="s">
        <v>299</v>
      </c>
      <c r="C51" s="208">
        <f t="shared" si="11"/>
        <v>134</v>
      </c>
      <c r="D51" s="698">
        <v>40</v>
      </c>
      <c r="E51" s="698">
        <v>94</v>
      </c>
      <c r="F51" s="699">
        <v>0</v>
      </c>
      <c r="G51" s="699">
        <v>0</v>
      </c>
      <c r="H51" s="208">
        <f t="shared" si="12"/>
        <v>134</v>
      </c>
      <c r="I51" s="208">
        <f t="shared" si="13"/>
        <v>119</v>
      </c>
      <c r="J51" s="698">
        <v>71</v>
      </c>
      <c r="K51" s="698">
        <v>3</v>
      </c>
      <c r="L51" s="698">
        <v>33</v>
      </c>
      <c r="M51" s="698">
        <v>0</v>
      </c>
      <c r="N51" s="698">
        <v>0</v>
      </c>
      <c r="O51" s="698">
        <v>0</v>
      </c>
      <c r="P51" s="700">
        <v>12</v>
      </c>
      <c r="Q51" s="701">
        <v>15</v>
      </c>
      <c r="R51" s="718">
        <f t="shared" si="10"/>
        <v>60</v>
      </c>
      <c r="S51" s="703">
        <f t="shared" si="7"/>
        <v>62.18487394957983</v>
      </c>
      <c r="T51" s="340">
        <f t="shared" si="2"/>
        <v>0</v>
      </c>
    </row>
    <row r="52" spans="1:20" ht="19.5" customHeight="1">
      <c r="A52" s="205">
        <v>4.3</v>
      </c>
      <c r="B52" s="697" t="s">
        <v>300</v>
      </c>
      <c r="C52" s="208">
        <f t="shared" si="11"/>
        <v>88</v>
      </c>
      <c r="D52" s="698">
        <v>30</v>
      </c>
      <c r="E52" s="698">
        <v>58</v>
      </c>
      <c r="F52" s="699">
        <v>1</v>
      </c>
      <c r="G52" s="699">
        <v>0</v>
      </c>
      <c r="H52" s="208">
        <f t="shared" si="12"/>
        <v>87</v>
      </c>
      <c r="I52" s="208">
        <f t="shared" si="13"/>
        <v>70</v>
      </c>
      <c r="J52" s="698">
        <v>35</v>
      </c>
      <c r="K52" s="698">
        <v>1</v>
      </c>
      <c r="L52" s="698">
        <v>33</v>
      </c>
      <c r="M52" s="698">
        <v>1</v>
      </c>
      <c r="N52" s="698">
        <v>0</v>
      </c>
      <c r="O52" s="698">
        <v>0</v>
      </c>
      <c r="P52" s="700">
        <v>0</v>
      </c>
      <c r="Q52" s="701">
        <v>17</v>
      </c>
      <c r="R52" s="718">
        <f t="shared" si="10"/>
        <v>51</v>
      </c>
      <c r="S52" s="703">
        <f t="shared" si="7"/>
        <v>51.42857142857142</v>
      </c>
      <c r="T52" s="340">
        <f t="shared" si="2"/>
        <v>0</v>
      </c>
    </row>
    <row r="53" spans="1:20" ht="19.5" customHeight="1">
      <c r="A53" s="205">
        <v>4.4</v>
      </c>
      <c r="B53" s="697" t="s">
        <v>301</v>
      </c>
      <c r="C53" s="208">
        <f t="shared" si="11"/>
        <v>81</v>
      </c>
      <c r="D53" s="698">
        <v>36</v>
      </c>
      <c r="E53" s="698">
        <v>45</v>
      </c>
      <c r="F53" s="699">
        <v>1</v>
      </c>
      <c r="G53" s="699">
        <v>0</v>
      </c>
      <c r="H53" s="208">
        <f t="shared" si="12"/>
        <v>80</v>
      </c>
      <c r="I53" s="208">
        <f t="shared" si="13"/>
        <v>65</v>
      </c>
      <c r="J53" s="698">
        <v>37</v>
      </c>
      <c r="K53" s="698">
        <v>1</v>
      </c>
      <c r="L53" s="698">
        <v>27</v>
      </c>
      <c r="M53" s="698">
        <v>0</v>
      </c>
      <c r="N53" s="698">
        <v>0</v>
      </c>
      <c r="O53" s="698">
        <v>0</v>
      </c>
      <c r="P53" s="700">
        <v>0</v>
      </c>
      <c r="Q53" s="701">
        <v>15</v>
      </c>
      <c r="R53" s="718">
        <f t="shared" si="10"/>
        <v>42</v>
      </c>
      <c r="S53" s="703">
        <f t="shared" si="7"/>
        <v>58.46153846153847</v>
      </c>
      <c r="T53" s="340">
        <f t="shared" si="2"/>
        <v>0</v>
      </c>
    </row>
    <row r="54" spans="1:20" ht="19.5" customHeight="1" thickBot="1">
      <c r="A54" s="330">
        <v>4.5</v>
      </c>
      <c r="B54" s="705" t="s">
        <v>302</v>
      </c>
      <c r="C54" s="706">
        <f t="shared" si="11"/>
        <v>172</v>
      </c>
      <c r="D54" s="707">
        <v>66</v>
      </c>
      <c r="E54" s="707">
        <v>106</v>
      </c>
      <c r="F54" s="708">
        <v>0</v>
      </c>
      <c r="G54" s="708">
        <v>0</v>
      </c>
      <c r="H54" s="706">
        <f t="shared" si="12"/>
        <v>172</v>
      </c>
      <c r="I54" s="706">
        <f t="shared" si="13"/>
        <v>144</v>
      </c>
      <c r="J54" s="707">
        <v>79</v>
      </c>
      <c r="K54" s="707">
        <v>3</v>
      </c>
      <c r="L54" s="707">
        <v>58</v>
      </c>
      <c r="M54" s="707">
        <v>4</v>
      </c>
      <c r="N54" s="707">
        <v>0</v>
      </c>
      <c r="O54" s="707">
        <v>0</v>
      </c>
      <c r="P54" s="709">
        <v>0</v>
      </c>
      <c r="Q54" s="710">
        <v>28</v>
      </c>
      <c r="R54" s="711">
        <f t="shared" si="10"/>
        <v>90</v>
      </c>
      <c r="S54" s="712">
        <f t="shared" si="7"/>
        <v>56.94444444444444</v>
      </c>
      <c r="T54" s="340">
        <f t="shared" si="2"/>
        <v>0</v>
      </c>
    </row>
    <row r="55" spans="1:20" ht="20.25" customHeight="1" thickTop="1">
      <c r="A55" s="203" t="s">
        <v>63</v>
      </c>
      <c r="B55" s="204" t="s">
        <v>303</v>
      </c>
      <c r="C55" s="336">
        <f t="shared" si="11"/>
        <v>1216</v>
      </c>
      <c r="D55" s="336">
        <f>SUM(D56:D58)</f>
        <v>551</v>
      </c>
      <c r="E55" s="336">
        <f>SUM(E56:E58)</f>
        <v>665</v>
      </c>
      <c r="F55" s="336">
        <f>SUM(F56:F58)</f>
        <v>2</v>
      </c>
      <c r="G55" s="336">
        <f>SUM(G56:G58)</f>
        <v>0</v>
      </c>
      <c r="H55" s="336">
        <f t="shared" si="12"/>
        <v>1214</v>
      </c>
      <c r="I55" s="336">
        <f t="shared" si="13"/>
        <v>1100</v>
      </c>
      <c r="J55" s="336">
        <f>SUM(J56:J58)</f>
        <v>513</v>
      </c>
      <c r="K55" s="336">
        <f aca="true" t="shared" si="17" ref="K55:Q55">SUM(K56:K58)</f>
        <v>44</v>
      </c>
      <c r="L55" s="336">
        <f t="shared" si="17"/>
        <v>534</v>
      </c>
      <c r="M55" s="336">
        <f t="shared" si="17"/>
        <v>3</v>
      </c>
      <c r="N55" s="336">
        <f t="shared" si="17"/>
        <v>0</v>
      </c>
      <c r="O55" s="336">
        <f t="shared" si="17"/>
        <v>0</v>
      </c>
      <c r="P55" s="336">
        <f t="shared" si="17"/>
        <v>6</v>
      </c>
      <c r="Q55" s="336">
        <f t="shared" si="17"/>
        <v>114</v>
      </c>
      <c r="R55" s="351">
        <f t="shared" si="10"/>
        <v>657</v>
      </c>
      <c r="S55" s="334">
        <f t="shared" si="7"/>
        <v>50.63636363636363</v>
      </c>
      <c r="T55" s="340">
        <f t="shared" si="2"/>
        <v>0</v>
      </c>
    </row>
    <row r="56" spans="1:20" ht="19.5" customHeight="1">
      <c r="A56" s="205">
        <v>5.1</v>
      </c>
      <c r="B56" s="697" t="s">
        <v>310</v>
      </c>
      <c r="C56" s="208">
        <f t="shared" si="11"/>
        <v>420</v>
      </c>
      <c r="D56" s="698">
        <v>226</v>
      </c>
      <c r="E56" s="698">
        <v>194</v>
      </c>
      <c r="F56" s="699">
        <v>0</v>
      </c>
      <c r="G56" s="699">
        <v>0</v>
      </c>
      <c r="H56" s="208">
        <f t="shared" si="12"/>
        <v>420</v>
      </c>
      <c r="I56" s="208">
        <f t="shared" si="13"/>
        <v>380</v>
      </c>
      <c r="J56" s="698">
        <v>160</v>
      </c>
      <c r="K56" s="698">
        <v>14</v>
      </c>
      <c r="L56" s="698">
        <v>206</v>
      </c>
      <c r="M56" s="698">
        <v>0</v>
      </c>
      <c r="N56" s="698">
        <v>0</v>
      </c>
      <c r="O56" s="698">
        <v>0</v>
      </c>
      <c r="P56" s="700">
        <v>0</v>
      </c>
      <c r="Q56" s="735">
        <v>40</v>
      </c>
      <c r="R56" s="718">
        <f t="shared" si="10"/>
        <v>246</v>
      </c>
      <c r="S56" s="703">
        <f t="shared" si="7"/>
        <v>45.78947368421053</v>
      </c>
      <c r="T56" s="340">
        <f t="shared" si="2"/>
        <v>0</v>
      </c>
    </row>
    <row r="57" spans="1:20" ht="19.5" customHeight="1">
      <c r="A57" s="205">
        <v>5.2</v>
      </c>
      <c r="B57" s="697" t="s">
        <v>311</v>
      </c>
      <c r="C57" s="208">
        <f t="shared" si="11"/>
        <v>361</v>
      </c>
      <c r="D57" s="698">
        <v>132</v>
      </c>
      <c r="E57" s="698">
        <v>229</v>
      </c>
      <c r="F57" s="699">
        <v>0</v>
      </c>
      <c r="G57" s="699">
        <v>0</v>
      </c>
      <c r="H57" s="208">
        <f t="shared" si="12"/>
        <v>361</v>
      </c>
      <c r="I57" s="208">
        <f t="shared" si="13"/>
        <v>330</v>
      </c>
      <c r="J57" s="698">
        <v>171</v>
      </c>
      <c r="K57" s="698">
        <v>12</v>
      </c>
      <c r="L57" s="698">
        <v>144</v>
      </c>
      <c r="M57" s="698">
        <v>3</v>
      </c>
      <c r="N57" s="698">
        <v>0</v>
      </c>
      <c r="O57" s="698">
        <v>0</v>
      </c>
      <c r="P57" s="700">
        <v>0</v>
      </c>
      <c r="Q57" s="735">
        <v>31</v>
      </c>
      <c r="R57" s="718">
        <f t="shared" si="10"/>
        <v>178</v>
      </c>
      <c r="S57" s="703">
        <f t="shared" si="7"/>
        <v>55.45454545454545</v>
      </c>
      <c r="T57" s="340">
        <f t="shared" si="2"/>
        <v>0</v>
      </c>
    </row>
    <row r="58" spans="1:20" ht="20.25" customHeight="1" thickBot="1">
      <c r="A58" s="330">
        <v>5.3</v>
      </c>
      <c r="B58" s="727" t="s">
        <v>309</v>
      </c>
      <c r="C58" s="706">
        <f t="shared" si="11"/>
        <v>435</v>
      </c>
      <c r="D58" s="707">
        <v>193</v>
      </c>
      <c r="E58" s="707">
        <v>242</v>
      </c>
      <c r="F58" s="708">
        <v>2</v>
      </c>
      <c r="G58" s="708">
        <v>0</v>
      </c>
      <c r="H58" s="706">
        <f t="shared" si="12"/>
        <v>433</v>
      </c>
      <c r="I58" s="706">
        <f t="shared" si="13"/>
        <v>390</v>
      </c>
      <c r="J58" s="707">
        <v>182</v>
      </c>
      <c r="K58" s="707">
        <v>18</v>
      </c>
      <c r="L58" s="707">
        <v>184</v>
      </c>
      <c r="M58" s="707">
        <v>0</v>
      </c>
      <c r="N58" s="707">
        <v>0</v>
      </c>
      <c r="O58" s="707">
        <v>0</v>
      </c>
      <c r="P58" s="709">
        <v>6</v>
      </c>
      <c r="Q58" s="736">
        <v>43</v>
      </c>
      <c r="R58" s="711">
        <f t="shared" si="10"/>
        <v>233</v>
      </c>
      <c r="S58" s="712">
        <f t="shared" si="7"/>
        <v>51.28205128205128</v>
      </c>
      <c r="T58" s="340">
        <f t="shared" si="2"/>
        <v>0</v>
      </c>
    </row>
    <row r="59" spans="1:20" ht="19.5" customHeight="1" thickTop="1">
      <c r="A59" s="203" t="s">
        <v>64</v>
      </c>
      <c r="B59" s="204" t="s">
        <v>304</v>
      </c>
      <c r="C59" s="336">
        <f t="shared" si="11"/>
        <v>710</v>
      </c>
      <c r="D59" s="336">
        <f>SUM(D60:D61)</f>
        <v>227</v>
      </c>
      <c r="E59" s="336">
        <f>SUM(E60:E61)</f>
        <v>483</v>
      </c>
      <c r="F59" s="336">
        <f>SUM(F60:F61)</f>
        <v>8</v>
      </c>
      <c r="G59" s="336">
        <f>SUM(G60:G61)</f>
        <v>0</v>
      </c>
      <c r="H59" s="336">
        <f t="shared" si="12"/>
        <v>702</v>
      </c>
      <c r="I59" s="336">
        <f t="shared" si="13"/>
        <v>641</v>
      </c>
      <c r="J59" s="336">
        <f>SUM(J60:J61)</f>
        <v>305</v>
      </c>
      <c r="K59" s="336">
        <f aca="true" t="shared" si="18" ref="K59:Q59">SUM(K60:K61)</f>
        <v>0</v>
      </c>
      <c r="L59" s="336">
        <f t="shared" si="18"/>
        <v>309</v>
      </c>
      <c r="M59" s="336">
        <f t="shared" si="18"/>
        <v>26</v>
      </c>
      <c r="N59" s="336">
        <f t="shared" si="18"/>
        <v>0</v>
      </c>
      <c r="O59" s="336">
        <f t="shared" si="18"/>
        <v>0</v>
      </c>
      <c r="P59" s="336">
        <f t="shared" si="18"/>
        <v>1</v>
      </c>
      <c r="Q59" s="336">
        <f t="shared" si="18"/>
        <v>61</v>
      </c>
      <c r="R59" s="351">
        <f t="shared" si="10"/>
        <v>397</v>
      </c>
      <c r="S59" s="335">
        <f t="shared" si="7"/>
        <v>47.581903276131044</v>
      </c>
      <c r="T59" s="340">
        <f t="shared" si="2"/>
        <v>0</v>
      </c>
    </row>
    <row r="60" spans="1:20" ht="21" customHeight="1">
      <c r="A60" s="585">
        <v>6.1</v>
      </c>
      <c r="B60" s="737" t="s">
        <v>312</v>
      </c>
      <c r="C60" s="208">
        <f t="shared" si="11"/>
        <v>193</v>
      </c>
      <c r="D60" s="698">
        <v>48</v>
      </c>
      <c r="E60" s="698">
        <v>145</v>
      </c>
      <c r="F60" s="699">
        <v>6</v>
      </c>
      <c r="G60" s="699">
        <v>0</v>
      </c>
      <c r="H60" s="208">
        <f t="shared" si="12"/>
        <v>187</v>
      </c>
      <c r="I60" s="208">
        <f t="shared" si="13"/>
        <v>174</v>
      </c>
      <c r="J60" s="698">
        <v>100</v>
      </c>
      <c r="K60" s="698">
        <v>0</v>
      </c>
      <c r="L60" s="698">
        <v>65</v>
      </c>
      <c r="M60" s="698">
        <v>8</v>
      </c>
      <c r="N60" s="698">
        <v>0</v>
      </c>
      <c r="O60" s="698">
        <v>0</v>
      </c>
      <c r="P60" s="700">
        <v>1</v>
      </c>
      <c r="Q60" s="735">
        <v>13</v>
      </c>
      <c r="R60" s="718">
        <f t="shared" si="10"/>
        <v>87</v>
      </c>
      <c r="S60" s="703">
        <f t="shared" si="7"/>
        <v>57.47126436781609</v>
      </c>
      <c r="T60" s="340">
        <f t="shared" si="2"/>
        <v>0</v>
      </c>
    </row>
    <row r="61" spans="1:20" ht="21" customHeight="1" thickBot="1">
      <c r="A61" s="586">
        <v>6.3</v>
      </c>
      <c r="B61" s="705" t="s">
        <v>313</v>
      </c>
      <c r="C61" s="706">
        <f t="shared" si="11"/>
        <v>517</v>
      </c>
      <c r="D61" s="707">
        <v>179</v>
      </c>
      <c r="E61" s="707">
        <v>338</v>
      </c>
      <c r="F61" s="708">
        <v>2</v>
      </c>
      <c r="G61" s="708">
        <v>0</v>
      </c>
      <c r="H61" s="706">
        <f t="shared" si="12"/>
        <v>515</v>
      </c>
      <c r="I61" s="706">
        <f t="shared" si="13"/>
        <v>467</v>
      </c>
      <c r="J61" s="707">
        <v>205</v>
      </c>
      <c r="K61" s="707">
        <v>0</v>
      </c>
      <c r="L61" s="707">
        <v>244</v>
      </c>
      <c r="M61" s="707">
        <v>18</v>
      </c>
      <c r="N61" s="707">
        <v>0</v>
      </c>
      <c r="O61" s="707">
        <v>0</v>
      </c>
      <c r="P61" s="709">
        <v>0</v>
      </c>
      <c r="Q61" s="736">
        <v>48</v>
      </c>
      <c r="R61" s="711">
        <f t="shared" si="10"/>
        <v>310</v>
      </c>
      <c r="S61" s="712">
        <f t="shared" si="7"/>
        <v>43.897216274089935</v>
      </c>
      <c r="T61" s="340">
        <f t="shared" si="2"/>
        <v>0</v>
      </c>
    </row>
    <row r="62" spans="1:20" ht="18.75" customHeight="1" thickTop="1">
      <c r="A62" s="203" t="s">
        <v>65</v>
      </c>
      <c r="B62" s="204" t="s">
        <v>305</v>
      </c>
      <c r="C62" s="336">
        <f t="shared" si="11"/>
        <v>1281</v>
      </c>
      <c r="D62" s="336">
        <f>SUM(D63:D67)</f>
        <v>799</v>
      </c>
      <c r="E62" s="336">
        <f>SUM(E63:E67)</f>
        <v>482</v>
      </c>
      <c r="F62" s="336">
        <f>SUM(F63:F67)</f>
        <v>5</v>
      </c>
      <c r="G62" s="336">
        <f>SUM(G63:G67)</f>
        <v>6</v>
      </c>
      <c r="H62" s="336">
        <f t="shared" si="12"/>
        <v>1276</v>
      </c>
      <c r="I62" s="336">
        <f t="shared" si="13"/>
        <v>1144</v>
      </c>
      <c r="J62" s="336">
        <f>SUM(J63:J67)</f>
        <v>323</v>
      </c>
      <c r="K62" s="336">
        <f aca="true" t="shared" si="19" ref="K62:Q62">SUM(K63:K67)</f>
        <v>6</v>
      </c>
      <c r="L62" s="336">
        <f t="shared" si="19"/>
        <v>814</v>
      </c>
      <c r="M62" s="336">
        <f t="shared" si="19"/>
        <v>1</v>
      </c>
      <c r="N62" s="336">
        <f t="shared" si="19"/>
        <v>0</v>
      </c>
      <c r="O62" s="336">
        <f t="shared" si="19"/>
        <v>0</v>
      </c>
      <c r="P62" s="336">
        <f t="shared" si="19"/>
        <v>0</v>
      </c>
      <c r="Q62" s="336">
        <f t="shared" si="19"/>
        <v>132</v>
      </c>
      <c r="R62" s="351">
        <f t="shared" si="10"/>
        <v>947</v>
      </c>
      <c r="S62" s="334">
        <f t="shared" si="7"/>
        <v>28.75874125874126</v>
      </c>
      <c r="T62" s="340">
        <f t="shared" si="2"/>
        <v>0</v>
      </c>
    </row>
    <row r="63" spans="1:20" ht="18" customHeight="1">
      <c r="A63" s="205">
        <v>7.1</v>
      </c>
      <c r="B63" s="697" t="s">
        <v>314</v>
      </c>
      <c r="C63" s="208">
        <f t="shared" si="11"/>
        <v>208</v>
      </c>
      <c r="D63" s="698">
        <v>133</v>
      </c>
      <c r="E63" s="698">
        <v>75</v>
      </c>
      <c r="F63" s="699">
        <v>0</v>
      </c>
      <c r="G63" s="699">
        <v>0</v>
      </c>
      <c r="H63" s="208">
        <f t="shared" si="12"/>
        <v>208</v>
      </c>
      <c r="I63" s="208">
        <f t="shared" si="13"/>
        <v>180</v>
      </c>
      <c r="J63" s="698">
        <v>56</v>
      </c>
      <c r="K63" s="698">
        <v>3</v>
      </c>
      <c r="L63" s="698">
        <v>121</v>
      </c>
      <c r="M63" s="698">
        <v>0</v>
      </c>
      <c r="N63" s="698">
        <v>0</v>
      </c>
      <c r="O63" s="698">
        <v>0</v>
      </c>
      <c r="P63" s="700">
        <v>0</v>
      </c>
      <c r="Q63" s="735">
        <v>28</v>
      </c>
      <c r="R63" s="718">
        <f t="shared" si="10"/>
        <v>149</v>
      </c>
      <c r="S63" s="703">
        <f t="shared" si="7"/>
        <v>32.77777777777778</v>
      </c>
      <c r="T63" s="340">
        <f t="shared" si="2"/>
        <v>0</v>
      </c>
    </row>
    <row r="64" spans="1:20" ht="18" customHeight="1">
      <c r="A64" s="205">
        <v>7.2</v>
      </c>
      <c r="B64" s="737" t="s">
        <v>315</v>
      </c>
      <c r="C64" s="208">
        <f t="shared" si="11"/>
        <v>295</v>
      </c>
      <c r="D64" s="698">
        <v>136</v>
      </c>
      <c r="E64" s="698">
        <v>159</v>
      </c>
      <c r="F64" s="699">
        <v>5</v>
      </c>
      <c r="G64" s="699">
        <v>2</v>
      </c>
      <c r="H64" s="208">
        <f t="shared" si="12"/>
        <v>290</v>
      </c>
      <c r="I64" s="208">
        <f t="shared" si="13"/>
        <v>271</v>
      </c>
      <c r="J64" s="698">
        <v>109</v>
      </c>
      <c r="K64" s="698">
        <v>1</v>
      </c>
      <c r="L64" s="698">
        <v>161</v>
      </c>
      <c r="M64" s="698">
        <v>0</v>
      </c>
      <c r="N64" s="698">
        <v>0</v>
      </c>
      <c r="O64" s="698">
        <v>0</v>
      </c>
      <c r="P64" s="700">
        <v>0</v>
      </c>
      <c r="Q64" s="735">
        <v>19</v>
      </c>
      <c r="R64" s="718">
        <f t="shared" si="10"/>
        <v>180</v>
      </c>
      <c r="S64" s="703">
        <f t="shared" si="7"/>
        <v>40.59040590405904</v>
      </c>
      <c r="T64" s="340">
        <f t="shared" si="2"/>
        <v>0</v>
      </c>
    </row>
    <row r="65" spans="1:20" ht="18.75" customHeight="1">
      <c r="A65" s="205">
        <v>7.3</v>
      </c>
      <c r="B65" s="737" t="s">
        <v>316</v>
      </c>
      <c r="C65" s="208">
        <f t="shared" si="11"/>
        <v>399</v>
      </c>
      <c r="D65" s="698">
        <v>272</v>
      </c>
      <c r="E65" s="698">
        <v>127</v>
      </c>
      <c r="F65" s="699">
        <v>0</v>
      </c>
      <c r="G65" s="699">
        <v>4</v>
      </c>
      <c r="H65" s="208">
        <f t="shared" si="12"/>
        <v>399</v>
      </c>
      <c r="I65" s="208">
        <f t="shared" si="13"/>
        <v>368</v>
      </c>
      <c r="J65" s="698">
        <v>82</v>
      </c>
      <c r="K65" s="698">
        <v>1</v>
      </c>
      <c r="L65" s="698">
        <v>284</v>
      </c>
      <c r="M65" s="698">
        <v>1</v>
      </c>
      <c r="N65" s="698">
        <v>0</v>
      </c>
      <c r="O65" s="698">
        <v>0</v>
      </c>
      <c r="P65" s="700">
        <v>0</v>
      </c>
      <c r="Q65" s="735">
        <v>31</v>
      </c>
      <c r="R65" s="718">
        <f t="shared" si="10"/>
        <v>316</v>
      </c>
      <c r="S65" s="703">
        <f t="shared" si="7"/>
        <v>22.554347826086957</v>
      </c>
      <c r="T65" s="340">
        <f t="shared" si="2"/>
        <v>0</v>
      </c>
    </row>
    <row r="66" spans="1:20" ht="20.25" customHeight="1">
      <c r="A66" s="205">
        <v>7.4</v>
      </c>
      <c r="B66" s="697" t="s">
        <v>317</v>
      </c>
      <c r="C66" s="208">
        <f t="shared" si="11"/>
        <v>182</v>
      </c>
      <c r="D66" s="698">
        <v>130</v>
      </c>
      <c r="E66" s="698">
        <v>52</v>
      </c>
      <c r="F66" s="699">
        <v>0</v>
      </c>
      <c r="G66" s="699">
        <v>0</v>
      </c>
      <c r="H66" s="208">
        <f t="shared" si="12"/>
        <v>182</v>
      </c>
      <c r="I66" s="208">
        <f t="shared" si="13"/>
        <v>136</v>
      </c>
      <c r="J66" s="698">
        <v>24</v>
      </c>
      <c r="K66" s="698">
        <v>0</v>
      </c>
      <c r="L66" s="698">
        <v>112</v>
      </c>
      <c r="M66" s="698">
        <v>0</v>
      </c>
      <c r="N66" s="698">
        <v>0</v>
      </c>
      <c r="O66" s="698">
        <v>0</v>
      </c>
      <c r="P66" s="700">
        <v>0</v>
      </c>
      <c r="Q66" s="735">
        <v>46</v>
      </c>
      <c r="R66" s="718">
        <f t="shared" si="10"/>
        <v>158</v>
      </c>
      <c r="S66" s="703">
        <f t="shared" si="7"/>
        <v>17.647058823529413</v>
      </c>
      <c r="T66" s="340">
        <f t="shared" si="2"/>
        <v>0</v>
      </c>
    </row>
    <row r="67" spans="1:20" ht="20.25" customHeight="1" thickBot="1">
      <c r="A67" s="330">
        <v>7.5</v>
      </c>
      <c r="B67" s="705" t="s">
        <v>318</v>
      </c>
      <c r="C67" s="706">
        <f t="shared" si="11"/>
        <v>197</v>
      </c>
      <c r="D67" s="707">
        <v>128</v>
      </c>
      <c r="E67" s="707">
        <v>69</v>
      </c>
      <c r="F67" s="708">
        <v>0</v>
      </c>
      <c r="G67" s="708">
        <v>0</v>
      </c>
      <c r="H67" s="706">
        <f t="shared" si="12"/>
        <v>197</v>
      </c>
      <c r="I67" s="706">
        <f t="shared" si="13"/>
        <v>189</v>
      </c>
      <c r="J67" s="707">
        <v>52</v>
      </c>
      <c r="K67" s="707">
        <v>1</v>
      </c>
      <c r="L67" s="707">
        <v>136</v>
      </c>
      <c r="M67" s="707">
        <v>0</v>
      </c>
      <c r="N67" s="707">
        <v>0</v>
      </c>
      <c r="O67" s="707">
        <v>0</v>
      </c>
      <c r="P67" s="709">
        <v>0</v>
      </c>
      <c r="Q67" s="736">
        <v>8</v>
      </c>
      <c r="R67" s="711">
        <f t="shared" si="10"/>
        <v>144</v>
      </c>
      <c r="S67" s="712">
        <f t="shared" si="7"/>
        <v>28.04232804232804</v>
      </c>
      <c r="T67" s="340">
        <f t="shared" si="2"/>
        <v>0</v>
      </c>
    </row>
    <row r="68" spans="1:20" ht="19.5" customHeight="1" thickTop="1">
      <c r="A68" s="203" t="s">
        <v>66</v>
      </c>
      <c r="B68" s="204" t="s">
        <v>306</v>
      </c>
      <c r="C68" s="336">
        <f t="shared" si="11"/>
        <v>707</v>
      </c>
      <c r="D68" s="336">
        <f>SUM(D69:D72)</f>
        <v>250</v>
      </c>
      <c r="E68" s="336">
        <f>SUM(E69:E72)</f>
        <v>457</v>
      </c>
      <c r="F68" s="336">
        <f>SUM(F69:F72)</f>
        <v>20</v>
      </c>
      <c r="G68" s="336">
        <f>SUM(G69:G72)</f>
        <v>0</v>
      </c>
      <c r="H68" s="336">
        <f t="shared" si="12"/>
        <v>687</v>
      </c>
      <c r="I68" s="336">
        <f t="shared" si="13"/>
        <v>621</v>
      </c>
      <c r="J68" s="336">
        <f>SUM(J69:J72)</f>
        <v>315</v>
      </c>
      <c r="K68" s="336">
        <f aca="true" t="shared" si="20" ref="K68:Q68">SUM(K69:K72)</f>
        <v>6</v>
      </c>
      <c r="L68" s="336">
        <f t="shared" si="20"/>
        <v>290</v>
      </c>
      <c r="M68" s="336">
        <f t="shared" si="20"/>
        <v>8</v>
      </c>
      <c r="N68" s="336">
        <f t="shared" si="20"/>
        <v>0</v>
      </c>
      <c r="O68" s="336">
        <f t="shared" si="20"/>
        <v>0</v>
      </c>
      <c r="P68" s="336">
        <f t="shared" si="20"/>
        <v>2</v>
      </c>
      <c r="Q68" s="336">
        <f t="shared" si="20"/>
        <v>66</v>
      </c>
      <c r="R68" s="351">
        <f t="shared" si="10"/>
        <v>366</v>
      </c>
      <c r="S68" s="334">
        <f t="shared" si="7"/>
        <v>51.690821256038646</v>
      </c>
      <c r="T68" s="340">
        <f t="shared" si="2"/>
        <v>0</v>
      </c>
    </row>
    <row r="69" spans="1:20" ht="19.5" customHeight="1">
      <c r="A69" s="205">
        <v>8.1</v>
      </c>
      <c r="B69" s="738" t="s">
        <v>319</v>
      </c>
      <c r="C69" s="208">
        <f t="shared" si="11"/>
        <v>13</v>
      </c>
      <c r="D69" s="698">
        <v>0</v>
      </c>
      <c r="E69" s="698">
        <v>13</v>
      </c>
      <c r="F69" s="699">
        <v>5</v>
      </c>
      <c r="G69" s="699">
        <v>0</v>
      </c>
      <c r="H69" s="208">
        <f t="shared" si="12"/>
        <v>8</v>
      </c>
      <c r="I69" s="208">
        <f t="shared" si="13"/>
        <v>8</v>
      </c>
      <c r="J69" s="698">
        <v>5</v>
      </c>
      <c r="K69" s="698">
        <v>1</v>
      </c>
      <c r="L69" s="698">
        <v>2</v>
      </c>
      <c r="M69" s="698">
        <v>0</v>
      </c>
      <c r="N69" s="698">
        <v>0</v>
      </c>
      <c r="O69" s="698">
        <v>0</v>
      </c>
      <c r="P69" s="700">
        <v>0</v>
      </c>
      <c r="Q69" s="735">
        <v>0</v>
      </c>
      <c r="R69" s="718">
        <f t="shared" si="10"/>
        <v>2</v>
      </c>
      <c r="S69" s="703">
        <f t="shared" si="7"/>
        <v>75</v>
      </c>
      <c r="T69" s="340">
        <f t="shared" si="2"/>
        <v>0</v>
      </c>
    </row>
    <row r="70" spans="1:20" ht="20.25" customHeight="1">
      <c r="A70" s="205">
        <v>8.2</v>
      </c>
      <c r="B70" s="738" t="s">
        <v>320</v>
      </c>
      <c r="C70" s="208">
        <f t="shared" si="11"/>
        <v>257</v>
      </c>
      <c r="D70" s="698">
        <v>116</v>
      </c>
      <c r="E70" s="698">
        <v>141</v>
      </c>
      <c r="F70" s="699">
        <v>0</v>
      </c>
      <c r="G70" s="699">
        <v>0</v>
      </c>
      <c r="H70" s="208">
        <f t="shared" si="12"/>
        <v>257</v>
      </c>
      <c r="I70" s="208">
        <f t="shared" si="13"/>
        <v>232</v>
      </c>
      <c r="J70" s="698">
        <v>108</v>
      </c>
      <c r="K70" s="698">
        <v>1</v>
      </c>
      <c r="L70" s="698">
        <v>121</v>
      </c>
      <c r="M70" s="698">
        <v>2</v>
      </c>
      <c r="N70" s="698">
        <v>0</v>
      </c>
      <c r="O70" s="698">
        <v>0</v>
      </c>
      <c r="P70" s="700">
        <v>0</v>
      </c>
      <c r="Q70" s="735">
        <v>25</v>
      </c>
      <c r="R70" s="718">
        <f t="shared" si="10"/>
        <v>148</v>
      </c>
      <c r="S70" s="703">
        <f t="shared" si="7"/>
        <v>46.98275862068966</v>
      </c>
      <c r="T70" s="340">
        <f t="shared" si="2"/>
        <v>0</v>
      </c>
    </row>
    <row r="71" spans="1:20" ht="18" customHeight="1">
      <c r="A71" s="205">
        <v>8.3</v>
      </c>
      <c r="B71" s="739" t="s">
        <v>321</v>
      </c>
      <c r="C71" s="208">
        <f t="shared" si="11"/>
        <v>197</v>
      </c>
      <c r="D71" s="698">
        <v>79</v>
      </c>
      <c r="E71" s="698">
        <v>118</v>
      </c>
      <c r="F71" s="699">
        <v>11</v>
      </c>
      <c r="G71" s="699">
        <v>0</v>
      </c>
      <c r="H71" s="208">
        <f t="shared" si="12"/>
        <v>186</v>
      </c>
      <c r="I71" s="208">
        <f t="shared" si="13"/>
        <v>168</v>
      </c>
      <c r="J71" s="698">
        <v>81</v>
      </c>
      <c r="K71" s="698">
        <v>1</v>
      </c>
      <c r="L71" s="698">
        <v>81</v>
      </c>
      <c r="M71" s="698">
        <v>5</v>
      </c>
      <c r="N71" s="698">
        <v>0</v>
      </c>
      <c r="O71" s="698">
        <v>0</v>
      </c>
      <c r="P71" s="700">
        <v>0</v>
      </c>
      <c r="Q71" s="735">
        <v>18</v>
      </c>
      <c r="R71" s="718">
        <f t="shared" si="10"/>
        <v>104</v>
      </c>
      <c r="S71" s="703">
        <f t="shared" si="7"/>
        <v>48.80952380952381</v>
      </c>
      <c r="T71" s="340">
        <f t="shared" si="2"/>
        <v>0</v>
      </c>
    </row>
    <row r="72" spans="1:20" ht="18.75" customHeight="1" thickBot="1">
      <c r="A72" s="330">
        <v>8.4</v>
      </c>
      <c r="B72" s="734" t="s">
        <v>322</v>
      </c>
      <c r="C72" s="706">
        <f t="shared" si="11"/>
        <v>240</v>
      </c>
      <c r="D72" s="707">
        <v>55</v>
      </c>
      <c r="E72" s="707">
        <v>185</v>
      </c>
      <c r="F72" s="708">
        <v>4</v>
      </c>
      <c r="G72" s="708">
        <v>0</v>
      </c>
      <c r="H72" s="706">
        <f t="shared" si="12"/>
        <v>236</v>
      </c>
      <c r="I72" s="706">
        <f t="shared" si="13"/>
        <v>213</v>
      </c>
      <c r="J72" s="707">
        <v>121</v>
      </c>
      <c r="K72" s="707">
        <v>3</v>
      </c>
      <c r="L72" s="707">
        <v>86</v>
      </c>
      <c r="M72" s="707">
        <v>1</v>
      </c>
      <c r="N72" s="707">
        <v>0</v>
      </c>
      <c r="O72" s="707">
        <v>0</v>
      </c>
      <c r="P72" s="709">
        <v>2</v>
      </c>
      <c r="Q72" s="736">
        <v>23</v>
      </c>
      <c r="R72" s="711">
        <f t="shared" si="10"/>
        <v>112</v>
      </c>
      <c r="S72" s="712">
        <f t="shared" si="7"/>
        <v>58.21596244131455</v>
      </c>
      <c r="T72" s="340">
        <f t="shared" si="2"/>
        <v>0</v>
      </c>
    </row>
    <row r="73" spans="1:20" ht="19.5" customHeight="1" thickTop="1">
      <c r="A73" s="203" t="s">
        <v>67</v>
      </c>
      <c r="B73" s="204" t="s">
        <v>307</v>
      </c>
      <c r="C73" s="336">
        <f t="shared" si="11"/>
        <v>895</v>
      </c>
      <c r="D73" s="336">
        <f>SUM(D74:D76)</f>
        <v>466</v>
      </c>
      <c r="E73" s="336">
        <f>SUM(E74:E76)</f>
        <v>429</v>
      </c>
      <c r="F73" s="336">
        <f>SUM(F74:F76)</f>
        <v>12</v>
      </c>
      <c r="G73" s="336">
        <f>SUM(G74:G76)</f>
        <v>0</v>
      </c>
      <c r="H73" s="336">
        <f t="shared" si="12"/>
        <v>883</v>
      </c>
      <c r="I73" s="336">
        <f t="shared" si="13"/>
        <v>770</v>
      </c>
      <c r="J73" s="336">
        <f>SUM(J74:J76)</f>
        <v>364</v>
      </c>
      <c r="K73" s="336">
        <f aca="true" t="shared" si="21" ref="K73:Q73">SUM(K74:K76)</f>
        <v>4</v>
      </c>
      <c r="L73" s="336">
        <f t="shared" si="21"/>
        <v>396</v>
      </c>
      <c r="M73" s="336">
        <f t="shared" si="21"/>
        <v>6</v>
      </c>
      <c r="N73" s="336">
        <f t="shared" si="21"/>
        <v>0</v>
      </c>
      <c r="O73" s="336">
        <f t="shared" si="21"/>
        <v>0</v>
      </c>
      <c r="P73" s="336">
        <f t="shared" si="21"/>
        <v>0</v>
      </c>
      <c r="Q73" s="336">
        <f t="shared" si="21"/>
        <v>113</v>
      </c>
      <c r="R73" s="351">
        <f t="shared" si="10"/>
        <v>515</v>
      </c>
      <c r="S73" s="334">
        <f t="shared" si="7"/>
        <v>47.79220779220779</v>
      </c>
      <c r="T73" s="340">
        <f t="shared" si="2"/>
        <v>0</v>
      </c>
    </row>
    <row r="74" spans="1:20" ht="18.75" customHeight="1">
      <c r="A74" s="205">
        <v>9.1</v>
      </c>
      <c r="B74" s="697" t="s">
        <v>323</v>
      </c>
      <c r="C74" s="208">
        <f t="shared" si="11"/>
        <v>176</v>
      </c>
      <c r="D74" s="698">
        <v>101</v>
      </c>
      <c r="E74" s="698">
        <v>75</v>
      </c>
      <c r="F74" s="699">
        <v>5</v>
      </c>
      <c r="G74" s="699">
        <v>0</v>
      </c>
      <c r="H74" s="208">
        <f t="shared" si="12"/>
        <v>171</v>
      </c>
      <c r="I74" s="208">
        <f t="shared" si="13"/>
        <v>158</v>
      </c>
      <c r="J74" s="698">
        <v>85</v>
      </c>
      <c r="K74" s="698">
        <v>0</v>
      </c>
      <c r="L74" s="698">
        <v>72</v>
      </c>
      <c r="M74" s="698">
        <v>1</v>
      </c>
      <c r="N74" s="698">
        <v>0</v>
      </c>
      <c r="O74" s="698">
        <v>0</v>
      </c>
      <c r="P74" s="700">
        <v>0</v>
      </c>
      <c r="Q74" s="735">
        <v>13</v>
      </c>
      <c r="R74" s="702">
        <f t="shared" si="10"/>
        <v>86</v>
      </c>
      <c r="S74" s="703">
        <f t="shared" si="7"/>
        <v>53.79746835443038</v>
      </c>
      <c r="T74" s="340">
        <f t="shared" si="2"/>
        <v>0</v>
      </c>
    </row>
    <row r="75" spans="1:20" ht="19.5" customHeight="1">
      <c r="A75" s="206">
        <v>9.2</v>
      </c>
      <c r="B75" s="697" t="s">
        <v>324</v>
      </c>
      <c r="C75" s="208">
        <f t="shared" si="11"/>
        <v>553</v>
      </c>
      <c r="D75" s="740">
        <v>276</v>
      </c>
      <c r="E75" s="740">
        <v>277</v>
      </c>
      <c r="F75" s="741">
        <v>4</v>
      </c>
      <c r="G75" s="741">
        <v>0</v>
      </c>
      <c r="H75" s="208">
        <f t="shared" si="12"/>
        <v>549</v>
      </c>
      <c r="I75" s="208">
        <f t="shared" si="13"/>
        <v>471</v>
      </c>
      <c r="J75" s="740">
        <v>213</v>
      </c>
      <c r="K75" s="740">
        <v>2</v>
      </c>
      <c r="L75" s="740">
        <v>254</v>
      </c>
      <c r="M75" s="740">
        <v>2</v>
      </c>
      <c r="N75" s="740">
        <v>0</v>
      </c>
      <c r="O75" s="740">
        <v>0</v>
      </c>
      <c r="P75" s="742">
        <v>0</v>
      </c>
      <c r="Q75" s="743">
        <v>78</v>
      </c>
      <c r="R75" s="718">
        <f t="shared" si="10"/>
        <v>334</v>
      </c>
      <c r="S75" s="703">
        <f t="shared" si="7"/>
        <v>45.64755838641189</v>
      </c>
      <c r="T75" s="340">
        <f t="shared" si="2"/>
        <v>0</v>
      </c>
    </row>
    <row r="76" spans="1:20" ht="18.75" customHeight="1" thickBot="1">
      <c r="A76" s="330">
        <v>9.3</v>
      </c>
      <c r="B76" s="719" t="s">
        <v>325</v>
      </c>
      <c r="C76" s="706">
        <f t="shared" si="11"/>
        <v>166</v>
      </c>
      <c r="D76" s="707">
        <v>89</v>
      </c>
      <c r="E76" s="707">
        <v>77</v>
      </c>
      <c r="F76" s="708">
        <v>3</v>
      </c>
      <c r="G76" s="708">
        <v>0</v>
      </c>
      <c r="H76" s="706">
        <f t="shared" si="12"/>
        <v>163</v>
      </c>
      <c r="I76" s="706">
        <f t="shared" si="13"/>
        <v>141</v>
      </c>
      <c r="J76" s="707">
        <v>66</v>
      </c>
      <c r="K76" s="707">
        <v>2</v>
      </c>
      <c r="L76" s="707">
        <v>70</v>
      </c>
      <c r="M76" s="707">
        <v>3</v>
      </c>
      <c r="N76" s="707">
        <v>0</v>
      </c>
      <c r="O76" s="707">
        <v>0</v>
      </c>
      <c r="P76" s="709">
        <v>0</v>
      </c>
      <c r="Q76" s="736">
        <v>22</v>
      </c>
      <c r="R76" s="711">
        <f t="shared" si="10"/>
        <v>95</v>
      </c>
      <c r="S76" s="712">
        <f t="shared" si="7"/>
        <v>48.226950354609926</v>
      </c>
      <c r="T76" s="340">
        <f t="shared" si="2"/>
        <v>0</v>
      </c>
    </row>
    <row r="77" spans="1:20" ht="18.75" customHeight="1" thickTop="1">
      <c r="A77" s="203" t="s">
        <v>85</v>
      </c>
      <c r="B77" s="204" t="s">
        <v>308</v>
      </c>
      <c r="C77" s="336">
        <f t="shared" si="11"/>
        <v>125</v>
      </c>
      <c r="D77" s="336">
        <f aca="true" t="shared" si="22" ref="D77:Q77">D78+D79</f>
        <v>68</v>
      </c>
      <c r="E77" s="336">
        <f t="shared" si="22"/>
        <v>57</v>
      </c>
      <c r="F77" s="336">
        <f t="shared" si="22"/>
        <v>0</v>
      </c>
      <c r="G77" s="336">
        <f t="shared" si="22"/>
        <v>0</v>
      </c>
      <c r="H77" s="336">
        <f t="shared" si="12"/>
        <v>125</v>
      </c>
      <c r="I77" s="336">
        <f t="shared" si="13"/>
        <v>108</v>
      </c>
      <c r="J77" s="336">
        <f t="shared" si="22"/>
        <v>52</v>
      </c>
      <c r="K77" s="336">
        <f t="shared" si="22"/>
        <v>2</v>
      </c>
      <c r="L77" s="336">
        <f t="shared" si="22"/>
        <v>52</v>
      </c>
      <c r="M77" s="336">
        <f t="shared" si="22"/>
        <v>2</v>
      </c>
      <c r="N77" s="336">
        <f t="shared" si="22"/>
        <v>0</v>
      </c>
      <c r="O77" s="336">
        <f t="shared" si="22"/>
        <v>0</v>
      </c>
      <c r="P77" s="336">
        <f t="shared" si="22"/>
        <v>0</v>
      </c>
      <c r="Q77" s="336">
        <f t="shared" si="22"/>
        <v>17</v>
      </c>
      <c r="R77" s="351">
        <f t="shared" si="10"/>
        <v>71</v>
      </c>
      <c r="S77" s="334">
        <f t="shared" si="7"/>
        <v>50</v>
      </c>
      <c r="T77" s="340">
        <f t="shared" si="2"/>
        <v>0</v>
      </c>
    </row>
    <row r="78" spans="1:20" ht="19.5" customHeight="1">
      <c r="A78" s="207">
        <v>10.1</v>
      </c>
      <c r="B78" s="697" t="s">
        <v>326</v>
      </c>
      <c r="C78" s="208">
        <f t="shared" si="11"/>
        <v>53</v>
      </c>
      <c r="D78" s="698">
        <v>17</v>
      </c>
      <c r="E78" s="698">
        <v>36</v>
      </c>
      <c r="F78" s="699">
        <v>0</v>
      </c>
      <c r="G78" s="699">
        <v>0</v>
      </c>
      <c r="H78" s="208">
        <f t="shared" si="12"/>
        <v>53</v>
      </c>
      <c r="I78" s="208">
        <f t="shared" si="13"/>
        <v>47</v>
      </c>
      <c r="J78" s="698">
        <v>35</v>
      </c>
      <c r="K78" s="698">
        <v>0</v>
      </c>
      <c r="L78" s="698">
        <v>12</v>
      </c>
      <c r="M78" s="698">
        <v>0</v>
      </c>
      <c r="N78" s="698">
        <v>0</v>
      </c>
      <c r="O78" s="698">
        <v>0</v>
      </c>
      <c r="P78" s="700">
        <v>0</v>
      </c>
      <c r="Q78" s="735">
        <v>6</v>
      </c>
      <c r="R78" s="718">
        <f t="shared" si="10"/>
        <v>18</v>
      </c>
      <c r="S78" s="703">
        <f t="shared" si="7"/>
        <v>74.46808510638297</v>
      </c>
      <c r="T78" s="340">
        <f t="shared" si="2"/>
        <v>0</v>
      </c>
    </row>
    <row r="79" spans="1:20" ht="19.5" customHeight="1" thickBot="1">
      <c r="A79" s="332">
        <v>10.2</v>
      </c>
      <c r="B79" s="705" t="s">
        <v>327</v>
      </c>
      <c r="C79" s="706">
        <f t="shared" si="11"/>
        <v>72</v>
      </c>
      <c r="D79" s="707">
        <v>51</v>
      </c>
      <c r="E79" s="707">
        <v>21</v>
      </c>
      <c r="F79" s="708">
        <v>0</v>
      </c>
      <c r="G79" s="708">
        <v>0</v>
      </c>
      <c r="H79" s="706">
        <f t="shared" si="12"/>
        <v>72</v>
      </c>
      <c r="I79" s="706">
        <f t="shared" si="13"/>
        <v>61</v>
      </c>
      <c r="J79" s="707">
        <v>17</v>
      </c>
      <c r="K79" s="707">
        <v>2</v>
      </c>
      <c r="L79" s="707">
        <v>40</v>
      </c>
      <c r="M79" s="707">
        <v>2</v>
      </c>
      <c r="N79" s="707">
        <v>0</v>
      </c>
      <c r="O79" s="707">
        <v>0</v>
      </c>
      <c r="P79" s="709">
        <v>0</v>
      </c>
      <c r="Q79" s="736">
        <v>11</v>
      </c>
      <c r="R79" s="711">
        <f t="shared" si="10"/>
        <v>53</v>
      </c>
      <c r="S79" s="712">
        <f t="shared" si="7"/>
        <v>31.147540983606557</v>
      </c>
      <c r="T79" s="340">
        <f>Q79+I79+F79-C79</f>
        <v>0</v>
      </c>
    </row>
    <row r="80" spans="1:20" s="86" customFormat="1" ht="16.5" customHeight="1" thickTop="1">
      <c r="A80" s="1190" t="str">
        <f>'Thông tin'!B7</f>
        <v>Bình Thuận, ngày 06 tháng 4 năm 2016</v>
      </c>
      <c r="B80" s="1190"/>
      <c r="C80" s="1190"/>
      <c r="D80" s="1190"/>
      <c r="E80" s="1190"/>
      <c r="F80" s="1190"/>
      <c r="G80" s="1190"/>
      <c r="H80" s="567"/>
      <c r="I80" s="567"/>
      <c r="J80" s="567"/>
      <c r="K80" s="567"/>
      <c r="L80" s="1046" t="str">
        <f>'Thông tin'!B7</f>
        <v>Bình Thuận, ngày 06 tháng 4 năm 2016</v>
      </c>
      <c r="M80" s="1046"/>
      <c r="N80" s="1046"/>
      <c r="O80" s="1046"/>
      <c r="P80" s="1046"/>
      <c r="Q80" s="1046"/>
      <c r="R80" s="1046"/>
      <c r="S80" s="1046"/>
      <c r="T80" s="98"/>
    </row>
    <row r="81" spans="1:20" s="120" customFormat="1" ht="18.75" customHeight="1">
      <c r="A81" s="1047" t="s">
        <v>4</v>
      </c>
      <c r="B81" s="1047"/>
      <c r="C81" s="1047"/>
      <c r="D81" s="1047"/>
      <c r="E81" s="1047"/>
      <c r="F81" s="1047"/>
      <c r="G81" s="1047"/>
      <c r="H81" s="568"/>
      <c r="I81" s="568"/>
      <c r="J81" s="568"/>
      <c r="K81" s="568"/>
      <c r="L81" s="1048" t="s">
        <v>355</v>
      </c>
      <c r="M81" s="1048"/>
      <c r="N81" s="1048"/>
      <c r="O81" s="1048"/>
      <c r="P81" s="1048"/>
      <c r="Q81" s="1048"/>
      <c r="R81" s="1048"/>
      <c r="S81" s="1048"/>
      <c r="T81" s="107"/>
    </row>
    <row r="82" spans="1:19" ht="16.5">
      <c r="A82" s="306"/>
      <c r="B82" s="1049"/>
      <c r="C82" s="1049"/>
      <c r="D82" s="570"/>
      <c r="E82" s="72"/>
      <c r="F82" s="72"/>
      <c r="G82" s="72"/>
      <c r="H82" s="72"/>
      <c r="I82" s="72"/>
      <c r="J82" s="72"/>
      <c r="K82" s="72"/>
      <c r="L82" s="843" t="s">
        <v>354</v>
      </c>
      <c r="M82" s="843"/>
      <c r="N82" s="843"/>
      <c r="O82" s="843"/>
      <c r="P82" s="843"/>
      <c r="Q82" s="843"/>
      <c r="R82" s="843"/>
      <c r="S82" s="843"/>
    </row>
    <row r="83" spans="1:19" ht="16.5">
      <c r="A83" s="306"/>
      <c r="B83" s="306"/>
      <c r="C83" s="497"/>
      <c r="D83" s="571"/>
      <c r="E83" s="72"/>
      <c r="F83" s="72"/>
      <c r="G83" s="72"/>
      <c r="H83" s="72"/>
      <c r="I83" s="72"/>
      <c r="J83" s="72"/>
      <c r="K83" s="72"/>
      <c r="L83" s="72"/>
      <c r="M83" s="569"/>
      <c r="N83" s="569"/>
      <c r="O83" s="569"/>
      <c r="P83" s="569"/>
      <c r="Q83" s="569"/>
      <c r="R83" s="82"/>
      <c r="S83" s="82"/>
    </row>
    <row r="84" spans="1:19" ht="16.5">
      <c r="A84" s="306"/>
      <c r="B84" s="306"/>
      <c r="C84" s="497"/>
      <c r="D84" s="571"/>
      <c r="E84" s="72"/>
      <c r="F84" s="72"/>
      <c r="G84" s="72"/>
      <c r="H84" s="72"/>
      <c r="I84" s="72"/>
      <c r="J84" s="72"/>
      <c r="K84" s="72"/>
      <c r="L84" s="72"/>
      <c r="M84" s="569"/>
      <c r="N84" s="569"/>
      <c r="O84" s="569"/>
      <c r="P84" s="569"/>
      <c r="Q84" s="569"/>
      <c r="R84" s="82"/>
      <c r="S84" s="82"/>
    </row>
    <row r="85" spans="1:19" ht="16.5">
      <c r="A85" s="306"/>
      <c r="B85" s="306"/>
      <c r="C85" s="497"/>
      <c r="D85" s="571"/>
      <c r="E85" s="72"/>
      <c r="F85" s="72"/>
      <c r="G85" s="72"/>
      <c r="H85" s="72"/>
      <c r="I85" s="72"/>
      <c r="J85" s="72"/>
      <c r="K85" s="72"/>
      <c r="L85" s="72"/>
      <c r="M85" s="569"/>
      <c r="N85" s="569"/>
      <c r="O85" s="569"/>
      <c r="P85" s="569"/>
      <c r="Q85" s="569"/>
      <c r="R85" s="82"/>
      <c r="S85" s="82"/>
    </row>
    <row r="86" spans="1:19" ht="16.5">
      <c r="A86" s="571"/>
      <c r="B86" s="306"/>
      <c r="C86" s="571"/>
      <c r="D86" s="571"/>
      <c r="E86" s="72"/>
      <c r="F86" s="72"/>
      <c r="G86" s="72"/>
      <c r="H86" s="72"/>
      <c r="I86" s="72"/>
      <c r="J86" s="72"/>
      <c r="K86" s="72"/>
      <c r="L86" s="72"/>
      <c r="M86" s="571"/>
      <c r="N86" s="571"/>
      <c r="O86" s="571"/>
      <c r="P86" s="571"/>
      <c r="Q86" s="571"/>
      <c r="R86" s="82"/>
      <c r="S86" s="82"/>
    </row>
    <row r="87" spans="1:19" ht="16.5" hidden="1">
      <c r="A87" s="843" t="s">
        <v>352</v>
      </c>
      <c r="B87" s="843"/>
      <c r="C87" s="843"/>
      <c r="D87" s="843"/>
      <c r="E87" s="72"/>
      <c r="F87" s="72"/>
      <c r="G87" s="72"/>
      <c r="H87" s="72"/>
      <c r="I87" s="72"/>
      <c r="J87" s="72"/>
      <c r="K87" s="72"/>
      <c r="L87" s="72"/>
      <c r="M87" s="843" t="s">
        <v>353</v>
      </c>
      <c r="N87" s="843"/>
      <c r="O87" s="843"/>
      <c r="P87" s="843"/>
      <c r="Q87" s="843"/>
      <c r="R87" s="82"/>
      <c r="S87" s="82"/>
    </row>
    <row r="88" spans="1:19" ht="15.75" hidden="1">
      <c r="A88" s="82"/>
      <c r="B88" s="1234" t="s">
        <v>44</v>
      </c>
      <c r="C88" s="1234"/>
      <c r="D88" s="1234"/>
      <c r="E88" s="1234"/>
      <c r="F88" s="1234"/>
      <c r="G88" s="1234"/>
      <c r="H88" s="1234"/>
      <c r="I88" s="1234"/>
      <c r="J88" s="1234"/>
      <c r="K88" s="1234"/>
      <c r="L88" s="1234"/>
      <c r="M88" s="1234"/>
      <c r="N88" s="1234"/>
      <c r="O88" s="1234"/>
      <c r="P88" s="72"/>
      <c r="Q88" s="72"/>
      <c r="R88" s="82"/>
      <c r="S88" s="82"/>
    </row>
    <row r="89" spans="1:19" ht="15.75" hidden="1">
      <c r="A89" s="82"/>
      <c r="B89" s="1234" t="s">
        <v>51</v>
      </c>
      <c r="C89" s="1234"/>
      <c r="D89" s="1234"/>
      <c r="E89" s="1234"/>
      <c r="F89" s="1234"/>
      <c r="G89" s="1234"/>
      <c r="H89" s="1234"/>
      <c r="I89" s="1234"/>
      <c r="J89" s="1234"/>
      <c r="K89" s="1234"/>
      <c r="L89" s="1234"/>
      <c r="M89" s="1234"/>
      <c r="N89" s="1234"/>
      <c r="O89" s="1234"/>
      <c r="P89" s="72"/>
      <c r="Q89" s="72"/>
      <c r="R89" s="82"/>
      <c r="S89" s="82"/>
    </row>
    <row r="90" spans="1:19" ht="15.75" hidden="1">
      <c r="A90" s="82"/>
      <c r="B90" s="1234" t="s">
        <v>45</v>
      </c>
      <c r="C90" s="1234"/>
      <c r="D90" s="1234"/>
      <c r="E90" s="1234"/>
      <c r="F90" s="1234"/>
      <c r="G90" s="1234"/>
      <c r="H90" s="1234"/>
      <c r="I90" s="1234"/>
      <c r="J90" s="1234"/>
      <c r="K90" s="1234"/>
      <c r="L90" s="1234"/>
      <c r="M90" s="1234"/>
      <c r="N90" s="1234"/>
      <c r="O90" s="1234"/>
      <c r="P90" s="72"/>
      <c r="Q90" s="72"/>
      <c r="R90" s="82"/>
      <c r="S90" s="82"/>
    </row>
    <row r="91" spans="1:19" ht="15.75" customHeight="1" hidden="1">
      <c r="A91" s="572"/>
      <c r="B91" s="1233" t="s">
        <v>46</v>
      </c>
      <c r="C91" s="1233"/>
      <c r="D91" s="1233"/>
      <c r="E91" s="1233"/>
      <c r="F91" s="1233"/>
      <c r="G91" s="1233"/>
      <c r="H91" s="1233"/>
      <c r="I91" s="1233"/>
      <c r="J91" s="1233"/>
      <c r="K91" s="1233"/>
      <c r="L91" s="1233"/>
      <c r="M91" s="1233"/>
      <c r="N91" s="1233"/>
      <c r="O91" s="1233"/>
      <c r="P91" s="572"/>
      <c r="Q91" s="82"/>
      <c r="R91" s="82"/>
      <c r="S91" s="82"/>
    </row>
    <row r="92" spans="1:19" ht="15.75" customHeight="1">
      <c r="A92" s="1189" t="str">
        <f>'Thông tin'!B4</f>
        <v>Trần Quốc Bảo</v>
      </c>
      <c r="B92" s="1189"/>
      <c r="C92" s="1189"/>
      <c r="D92" s="1189"/>
      <c r="E92" s="1189"/>
      <c r="F92" s="1189"/>
      <c r="G92" s="1189"/>
      <c r="H92" s="573"/>
      <c r="I92" s="573"/>
      <c r="J92" s="573"/>
      <c r="K92" s="573"/>
      <c r="L92" s="1189" t="str">
        <f>'Thông tin'!B5</f>
        <v>Trần Nam</v>
      </c>
      <c r="M92" s="1189"/>
      <c r="N92" s="1189"/>
      <c r="O92" s="1189"/>
      <c r="P92" s="1189"/>
      <c r="Q92" s="1189"/>
      <c r="R92" s="1189"/>
      <c r="S92" s="1189"/>
    </row>
    <row r="93" spans="1:16" ht="15.75">
      <c r="A93" s="123"/>
      <c r="B93" s="123"/>
      <c r="C93" s="123"/>
      <c r="D93" s="123"/>
      <c r="E93" s="123"/>
      <c r="F93" s="123"/>
      <c r="G93" s="123"/>
      <c r="H93" s="123"/>
      <c r="I93" s="123"/>
      <c r="J93" s="123"/>
      <c r="K93" s="123"/>
      <c r="L93" s="123"/>
      <c r="M93" s="123"/>
      <c r="N93" s="123"/>
      <c r="O93" s="123"/>
      <c r="P93" s="123"/>
    </row>
  </sheetData>
  <sheetProtection/>
  <mergeCells count="50">
    <mergeCell ref="O4:S4"/>
    <mergeCell ref="A92:G92"/>
    <mergeCell ref="L92:S92"/>
    <mergeCell ref="B82:C82"/>
    <mergeCell ref="A87:D87"/>
    <mergeCell ref="B91:O91"/>
    <mergeCell ref="B89:O89"/>
    <mergeCell ref="B90:O90"/>
    <mergeCell ref="B88:O88"/>
    <mergeCell ref="M87:Q87"/>
    <mergeCell ref="P9:P10"/>
    <mergeCell ref="M9:M10"/>
    <mergeCell ref="E9:E10"/>
    <mergeCell ref="E1:N1"/>
    <mergeCell ref="E2:N2"/>
    <mergeCell ref="E4:N4"/>
    <mergeCell ref="O1:R1"/>
    <mergeCell ref="E3:N3"/>
    <mergeCell ref="O3:R3"/>
    <mergeCell ref="O2:S2"/>
    <mergeCell ref="Q7:Q10"/>
    <mergeCell ref="I8:I10"/>
    <mergeCell ref="J8:P8"/>
    <mergeCell ref="A12:B12"/>
    <mergeCell ref="K9:K10"/>
    <mergeCell ref="F6:F10"/>
    <mergeCell ref="G6:G10"/>
    <mergeCell ref="H6:Q6"/>
    <mergeCell ref="C6:E6"/>
    <mergeCell ref="O9:O10"/>
    <mergeCell ref="C7:C10"/>
    <mergeCell ref="N9:N10"/>
    <mergeCell ref="L80:S80"/>
    <mergeCell ref="A2:D2"/>
    <mergeCell ref="A3:D3"/>
    <mergeCell ref="D9:D10"/>
    <mergeCell ref="O5:R5"/>
    <mergeCell ref="H7:H10"/>
    <mergeCell ref="D7:E8"/>
    <mergeCell ref="I7:P7"/>
    <mergeCell ref="L81:S81"/>
    <mergeCell ref="L82:S82"/>
    <mergeCell ref="A80:G80"/>
    <mergeCell ref="S6:S10"/>
    <mergeCell ref="L9:L10"/>
    <mergeCell ref="A11:B11"/>
    <mergeCell ref="A6:B10"/>
    <mergeCell ref="R6:R10"/>
    <mergeCell ref="A81:G81"/>
    <mergeCell ref="J9:J10"/>
  </mergeCells>
  <printOptions/>
  <pageMargins left="0.25" right="0" top="0" bottom="0" header="0.511811023622047" footer="0.27559055118110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indexed="63"/>
  </sheetPr>
  <dimension ref="A1:R35"/>
  <sheetViews>
    <sheetView zoomScalePageLayoutView="0" workbookViewId="0" topLeftCell="A7">
      <selection activeCell="K16" sqref="K16"/>
    </sheetView>
  </sheetViews>
  <sheetFormatPr defaultColWidth="9.00390625" defaultRowHeight="15.75"/>
  <cols>
    <col min="1" max="1" width="4.25390625" style="109" customWidth="1"/>
    <col min="2" max="2" width="21.875" style="109" customWidth="1"/>
    <col min="3" max="3" width="14.375" style="109" customWidth="1"/>
    <col min="4" max="4" width="12.125" style="109" customWidth="1"/>
    <col min="5" max="5" width="11.00390625" style="109" customWidth="1"/>
    <col min="6" max="6" width="8.875" style="109" customWidth="1"/>
    <col min="7" max="8" width="9.375" style="109" customWidth="1"/>
    <col min="9" max="9" width="10.50390625" style="109" customWidth="1"/>
    <col min="10" max="10" width="10.125" style="109" customWidth="1"/>
    <col min="11" max="11" width="11.375" style="109" customWidth="1"/>
    <col min="12" max="12" width="11.625" style="109" customWidth="1"/>
    <col min="13" max="14" width="11.375" style="108" customWidth="1"/>
    <col min="15" max="18" width="9.00390625" style="108" customWidth="1"/>
    <col min="19" max="16384" width="9.00390625" style="109" customWidth="1"/>
  </cols>
  <sheetData>
    <row r="1" spans="1:13" ht="21" customHeight="1">
      <c r="A1" s="1240" t="s">
        <v>23</v>
      </c>
      <c r="B1" s="1241"/>
      <c r="C1" s="283"/>
      <c r="D1" s="1244" t="s">
        <v>68</v>
      </c>
      <c r="E1" s="1244"/>
      <c r="F1" s="1244"/>
      <c r="G1" s="1244"/>
      <c r="H1" s="1244"/>
      <c r="I1" s="1244"/>
      <c r="J1" s="1243" t="s">
        <v>340</v>
      </c>
      <c r="K1" s="1243"/>
      <c r="L1" s="1243"/>
      <c r="M1" s="282"/>
    </row>
    <row r="2" spans="1:13" ht="16.5" customHeight="1">
      <c r="A2" s="1242" t="s">
        <v>247</v>
      </c>
      <c r="B2" s="1242"/>
      <c r="C2" s="1242"/>
      <c r="D2" s="1244" t="s">
        <v>185</v>
      </c>
      <c r="E2" s="1244"/>
      <c r="F2" s="1244"/>
      <c r="G2" s="1244"/>
      <c r="H2" s="1244"/>
      <c r="I2" s="1244"/>
      <c r="J2" s="850" t="s">
        <v>347</v>
      </c>
      <c r="K2" s="850"/>
      <c r="L2" s="850"/>
      <c r="M2" s="850"/>
    </row>
    <row r="3" spans="1:13" ht="16.5" customHeight="1">
      <c r="A3" s="1242" t="s">
        <v>248</v>
      </c>
      <c r="B3" s="1242"/>
      <c r="C3" s="275"/>
      <c r="D3" s="1245" t="str">
        <f>'Thông tin'!B2</f>
        <v>6 tháng / năm 2016</v>
      </c>
      <c r="E3" s="1245"/>
      <c r="F3" s="1245"/>
      <c r="G3" s="1245"/>
      <c r="H3" s="1245"/>
      <c r="I3" s="1245"/>
      <c r="J3" s="1243" t="s">
        <v>341</v>
      </c>
      <c r="K3" s="1243"/>
      <c r="L3" s="1243"/>
      <c r="M3" s="282"/>
    </row>
    <row r="4" spans="1:13" ht="13.5" customHeight="1">
      <c r="A4" s="281" t="s">
        <v>351</v>
      </c>
      <c r="B4" s="275"/>
      <c r="C4" s="276"/>
      <c r="D4" s="1003" t="s">
        <v>363</v>
      </c>
      <c r="E4" s="1003"/>
      <c r="F4" s="1003"/>
      <c r="G4" s="1003"/>
      <c r="H4" s="1003"/>
      <c r="I4" s="1003"/>
      <c r="J4" s="850" t="s">
        <v>350</v>
      </c>
      <c r="K4" s="850"/>
      <c r="L4" s="850"/>
      <c r="M4" s="259"/>
    </row>
    <row r="5" spans="1:13" ht="14.25" customHeight="1">
      <c r="A5" s="284"/>
      <c r="B5" s="284" t="s">
        <v>82</v>
      </c>
      <c r="C5" s="284"/>
      <c r="D5" s="284"/>
      <c r="E5" s="284"/>
      <c r="F5" s="284"/>
      <c r="G5" s="284"/>
      <c r="H5" s="284"/>
      <c r="I5" s="284"/>
      <c r="J5" s="1246" t="s">
        <v>164</v>
      </c>
      <c r="K5" s="1246"/>
      <c r="L5" s="1246"/>
      <c r="M5" s="282"/>
    </row>
    <row r="6" spans="1:13" ht="19.5" customHeight="1">
      <c r="A6" s="1158" t="s">
        <v>60</v>
      </c>
      <c r="B6" s="1159"/>
      <c r="C6" s="1236" t="s">
        <v>27</v>
      </c>
      <c r="D6" s="1249" t="s">
        <v>240</v>
      </c>
      <c r="E6" s="1249"/>
      <c r="F6" s="1249"/>
      <c r="G6" s="1249"/>
      <c r="H6" s="1249"/>
      <c r="I6" s="1249"/>
      <c r="J6" s="1249"/>
      <c r="K6" s="1249"/>
      <c r="L6" s="1249"/>
      <c r="M6" s="285"/>
    </row>
    <row r="7" spans="1:13" ht="15" customHeight="1">
      <c r="A7" s="1160"/>
      <c r="B7" s="1161"/>
      <c r="C7" s="1236"/>
      <c r="D7" s="1250" t="s">
        <v>176</v>
      </c>
      <c r="E7" s="1251"/>
      <c r="F7" s="1251"/>
      <c r="G7" s="1251"/>
      <c r="H7" s="1251"/>
      <c r="I7" s="1251"/>
      <c r="J7" s="1252"/>
      <c r="K7" s="1253" t="s">
        <v>177</v>
      </c>
      <c r="L7" s="1253" t="s">
        <v>178</v>
      </c>
      <c r="M7" s="285"/>
    </row>
    <row r="8" spans="1:13" ht="15" customHeight="1">
      <c r="A8" s="1160"/>
      <c r="B8" s="1161"/>
      <c r="C8" s="1236"/>
      <c r="D8" s="1237" t="s">
        <v>26</v>
      </c>
      <c r="E8" s="1258" t="s">
        <v>6</v>
      </c>
      <c r="F8" s="1259"/>
      <c r="G8" s="1259"/>
      <c r="H8" s="1259"/>
      <c r="I8" s="1259"/>
      <c r="J8" s="1260"/>
      <c r="K8" s="1254"/>
      <c r="L8" s="1256"/>
      <c r="M8" s="285"/>
    </row>
    <row r="9" spans="1:13" ht="49.5" customHeight="1">
      <c r="A9" s="1162"/>
      <c r="B9" s="1163"/>
      <c r="C9" s="1236"/>
      <c r="D9" s="1237"/>
      <c r="E9" s="152" t="s">
        <v>179</v>
      </c>
      <c r="F9" s="152" t="s">
        <v>180</v>
      </c>
      <c r="G9" s="152" t="s">
        <v>181</v>
      </c>
      <c r="H9" s="152" t="s">
        <v>182</v>
      </c>
      <c r="I9" s="152" t="s">
        <v>249</v>
      </c>
      <c r="J9" s="152" t="s">
        <v>183</v>
      </c>
      <c r="K9" s="1255"/>
      <c r="L9" s="1257"/>
      <c r="M9" s="285"/>
    </row>
    <row r="10" spans="1:18" s="118" customFormat="1" ht="12" customHeight="1">
      <c r="A10" s="1238" t="s">
        <v>5</v>
      </c>
      <c r="B10" s="1239"/>
      <c r="C10" s="163">
        <v>1</v>
      </c>
      <c r="D10" s="116">
        <v>2</v>
      </c>
      <c r="E10" s="163">
        <v>3</v>
      </c>
      <c r="F10" s="116">
        <v>4</v>
      </c>
      <c r="G10" s="163">
        <v>5</v>
      </c>
      <c r="H10" s="116">
        <v>6</v>
      </c>
      <c r="I10" s="163">
        <v>7</v>
      </c>
      <c r="J10" s="116">
        <v>8</v>
      </c>
      <c r="K10" s="163">
        <v>9</v>
      </c>
      <c r="L10" s="116">
        <v>10</v>
      </c>
      <c r="M10" s="286"/>
      <c r="N10" s="117"/>
      <c r="O10" s="117"/>
      <c r="P10" s="117"/>
      <c r="Q10" s="117"/>
      <c r="R10" s="117"/>
    </row>
    <row r="11" spans="1:18" s="111" customFormat="1" ht="18" customHeight="1">
      <c r="A11" s="192" t="s">
        <v>0</v>
      </c>
      <c r="B11" s="195" t="s">
        <v>100</v>
      </c>
      <c r="C11" s="287">
        <f>C12+C13</f>
        <v>1152605020</v>
      </c>
      <c r="D11" s="287">
        <f aca="true" t="shared" si="0" ref="D11:L11">D12+D13</f>
        <v>31884849</v>
      </c>
      <c r="E11" s="287">
        <f t="shared" si="0"/>
        <v>22761545</v>
      </c>
      <c r="F11" s="287">
        <f t="shared" si="0"/>
        <v>151405</v>
      </c>
      <c r="G11" s="287">
        <f t="shared" si="0"/>
        <v>3331143</v>
      </c>
      <c r="H11" s="287">
        <f t="shared" si="0"/>
        <v>3853703</v>
      </c>
      <c r="I11" s="287">
        <f t="shared" si="0"/>
        <v>886411</v>
      </c>
      <c r="J11" s="287">
        <f t="shared" si="0"/>
        <v>900642</v>
      </c>
      <c r="K11" s="287">
        <f t="shared" si="0"/>
        <v>571413440</v>
      </c>
      <c r="L11" s="287">
        <f t="shared" si="0"/>
        <v>549306731</v>
      </c>
      <c r="M11" s="278"/>
      <c r="N11" s="110"/>
      <c r="O11" s="110"/>
      <c r="P11" s="110"/>
      <c r="Q11" s="73"/>
      <c r="R11" s="73"/>
    </row>
    <row r="12" spans="1:18" s="111" customFormat="1" ht="15.75" customHeight="1">
      <c r="A12" s="79">
        <v>1</v>
      </c>
      <c r="B12" s="196" t="s">
        <v>101</v>
      </c>
      <c r="C12" s="287">
        <f>D12+K12+L12</f>
        <v>950640851</v>
      </c>
      <c r="D12" s="387">
        <f>E12+F12+G12+H12+I12+J12</f>
        <v>22764934</v>
      </c>
      <c r="E12" s="388">
        <f>73977+918626+914279+1418310+400797+1002312+180485+848769+1820862+4949691+2972408</f>
        <v>15500516</v>
      </c>
      <c r="F12" s="388">
        <f>94790+0</f>
        <v>94790</v>
      </c>
      <c r="G12" s="388">
        <f>106000+525830+118710+104101+8000+110310+225233+20000+1256581+84600+5000</f>
        <v>2564365</v>
      </c>
      <c r="H12" s="388">
        <f>98452+207301+44380+351624+9300+207468+155956+459501+955073+909573+41740</f>
        <v>3440368</v>
      </c>
      <c r="I12" s="388">
        <f>492882+158065+167619+0</f>
        <v>818566</v>
      </c>
      <c r="J12" s="388">
        <f>2999+178003+2215+43294+83633+36185</f>
        <v>346329</v>
      </c>
      <c r="K12" s="388">
        <f>20730439+53283744+64248842+124001+4499750+4797083+14377586+39155709+227527936+71402587-8485070-3176400</f>
        <v>488486207</v>
      </c>
      <c r="L12" s="388">
        <f>13734146+252265472+37888107+25446722+26964571+17192763+3203354+24507871+25133545+11233184+1819975</f>
        <v>439389710</v>
      </c>
      <c r="M12" s="288"/>
      <c r="N12" s="112"/>
      <c r="O12" s="112"/>
      <c r="P12" s="112"/>
      <c r="Q12" s="113"/>
      <c r="R12" s="113"/>
    </row>
    <row r="13" spans="1:18" s="111" customFormat="1" ht="15.75" customHeight="1">
      <c r="A13" s="79">
        <v>2</v>
      </c>
      <c r="B13" s="196" t="s">
        <v>102</v>
      </c>
      <c r="C13" s="287">
        <f>D13+K13+L13</f>
        <v>201964169</v>
      </c>
      <c r="D13" s="387">
        <f>E13+F13+G13+H13+I13+J13</f>
        <v>9119915</v>
      </c>
      <c r="E13" s="389">
        <f>306817+1497798+992010+911728+366760+380926+223767+1075905+1251862+218503+41053-6100</f>
        <v>7261029</v>
      </c>
      <c r="F13" s="389">
        <f>55915+300+400</f>
        <v>56615</v>
      </c>
      <c r="G13" s="389">
        <f>50000+6900+5100+21151+67200+33390+576375+5000+12572-10910</f>
        <v>766778</v>
      </c>
      <c r="H13" s="389">
        <f>120308+40690+26630+2802+61865+28757+99403+32880+0</f>
        <v>413335</v>
      </c>
      <c r="I13" s="389">
        <f>10000+7845+50000</f>
        <v>67845</v>
      </c>
      <c r="J13" s="389">
        <f>249892+15160+51533+191262+29454+1+17011</f>
        <v>554313</v>
      </c>
      <c r="K13" s="389">
        <f>208906+1295862+12953247+418100+717329+7756279+12068012+4755200+2523576+25678074+11376248+3176400</f>
        <v>82927233</v>
      </c>
      <c r="L13" s="389">
        <f>114000+6843846+9194643+4984207+11049315+3433671+11203030+13077680+584608+7607480+0+41824541</f>
        <v>109917021</v>
      </c>
      <c r="M13" s="288"/>
      <c r="N13" s="112"/>
      <c r="O13" s="112"/>
      <c r="P13" s="112"/>
      <c r="Q13" s="113"/>
      <c r="R13" s="113"/>
    </row>
    <row r="14" spans="1:18" s="111" customFormat="1" ht="15.75" customHeight="1">
      <c r="A14" s="194" t="s">
        <v>1</v>
      </c>
      <c r="B14" s="197" t="s">
        <v>103</v>
      </c>
      <c r="C14" s="287">
        <f>D14+K14+L14</f>
        <v>8980961</v>
      </c>
      <c r="D14" s="387">
        <f>E14+F14+G14+H14+I14+J14</f>
        <v>281952</v>
      </c>
      <c r="E14" s="386">
        <f>4906+4325+38261+7338+200+850+800+37094+28142+131744+0</f>
        <v>253660</v>
      </c>
      <c r="F14" s="386">
        <v>0</v>
      </c>
      <c r="G14" s="386">
        <f>5200+0</f>
        <v>5200</v>
      </c>
      <c r="H14" s="386">
        <f>7992+1100+5000</f>
        <v>14092</v>
      </c>
      <c r="I14" s="386">
        <v>0</v>
      </c>
      <c r="J14" s="386">
        <v>9000</v>
      </c>
      <c r="K14" s="386">
        <v>6015046</v>
      </c>
      <c r="L14" s="386">
        <f>584608+1000+256985+150000+100445+1388926+201999+0</f>
        <v>2683963</v>
      </c>
      <c r="M14" s="278"/>
      <c r="N14" s="110"/>
      <c r="O14" s="110"/>
      <c r="P14" s="110"/>
      <c r="Q14" s="73"/>
      <c r="R14" s="73"/>
    </row>
    <row r="15" spans="1:18" s="111" customFormat="1" ht="15.75" customHeight="1">
      <c r="A15" s="194" t="s">
        <v>9</v>
      </c>
      <c r="B15" s="197" t="s">
        <v>104</v>
      </c>
      <c r="C15" s="287">
        <f>D15+K15+L15</f>
        <v>33610464</v>
      </c>
      <c r="D15" s="387">
        <f>E15+F15+G15+H15+I15+J15</f>
        <v>136310</v>
      </c>
      <c r="E15" s="386">
        <v>136310</v>
      </c>
      <c r="F15" s="386">
        <v>0</v>
      </c>
      <c r="G15" s="386">
        <v>0</v>
      </c>
      <c r="H15" s="386">
        <v>0</v>
      </c>
      <c r="I15" s="386">
        <v>0</v>
      </c>
      <c r="J15" s="386">
        <v>0</v>
      </c>
      <c r="K15" s="386">
        <f>8485070+20634084+0</f>
        <v>29119154</v>
      </c>
      <c r="L15" s="386">
        <f>1178599+3176401+0</f>
        <v>4355000</v>
      </c>
      <c r="M15" s="278"/>
      <c r="N15" s="110"/>
      <c r="O15" s="110"/>
      <c r="P15" s="110"/>
      <c r="Q15" s="73"/>
      <c r="R15" s="73"/>
    </row>
    <row r="16" spans="1:18" s="111" customFormat="1" ht="17.25" customHeight="1">
      <c r="A16" s="193" t="s">
        <v>105</v>
      </c>
      <c r="B16" s="198" t="s">
        <v>106</v>
      </c>
      <c r="C16" s="390">
        <f>C17+C26</f>
        <v>1143624059</v>
      </c>
      <c r="D16" s="390">
        <f aca="true" t="shared" si="1" ref="D16:L16">D17+D26</f>
        <v>31602897</v>
      </c>
      <c r="E16" s="390">
        <f t="shared" si="1"/>
        <v>22507885</v>
      </c>
      <c r="F16" s="390">
        <f t="shared" si="1"/>
        <v>151405</v>
      </c>
      <c r="G16" s="390">
        <f t="shared" si="1"/>
        <v>3325943</v>
      </c>
      <c r="H16" s="390">
        <f t="shared" si="1"/>
        <v>3839611</v>
      </c>
      <c r="I16" s="390">
        <f>I17+I26</f>
        <v>886411</v>
      </c>
      <c r="J16" s="390">
        <f t="shared" si="1"/>
        <v>891642</v>
      </c>
      <c r="K16" s="390">
        <f t="shared" si="1"/>
        <v>565398394</v>
      </c>
      <c r="L16" s="287">
        <f t="shared" si="1"/>
        <v>546622768</v>
      </c>
      <c r="M16" s="278"/>
      <c r="N16" s="110"/>
      <c r="O16" s="110"/>
      <c r="P16" s="110"/>
      <c r="Q16" s="73"/>
      <c r="R16" s="73"/>
    </row>
    <row r="17" spans="1:18" s="111" customFormat="1" ht="15.75" customHeight="1">
      <c r="A17" s="193" t="s">
        <v>37</v>
      </c>
      <c r="B17" s="199" t="s">
        <v>107</v>
      </c>
      <c r="C17" s="287">
        <f>C18+C19+C20+C21+C22+C23+C24+C25</f>
        <v>1102267657</v>
      </c>
      <c r="D17" s="287">
        <f aca="true" t="shared" si="2" ref="D17:L17">D18+D19+D20+D21+D22+D23+D24+D25</f>
        <v>22369968</v>
      </c>
      <c r="E17" s="287">
        <f t="shared" si="2"/>
        <v>18030012</v>
      </c>
      <c r="F17" s="287">
        <f t="shared" si="2"/>
        <v>81653</v>
      </c>
      <c r="G17" s="287">
        <f t="shared" si="2"/>
        <v>1683234</v>
      </c>
      <c r="H17" s="287">
        <f t="shared" si="2"/>
        <v>1385453</v>
      </c>
      <c r="I17" s="287">
        <f t="shared" si="2"/>
        <v>472685</v>
      </c>
      <c r="J17" s="287">
        <f t="shared" si="2"/>
        <v>716931</v>
      </c>
      <c r="K17" s="287">
        <f t="shared" si="2"/>
        <v>554763012</v>
      </c>
      <c r="L17" s="287">
        <f t="shared" si="2"/>
        <v>525134677</v>
      </c>
      <c r="M17" s="278"/>
      <c r="N17" s="110"/>
      <c r="O17" s="110"/>
      <c r="P17" s="110"/>
      <c r="Q17" s="73"/>
      <c r="R17" s="73"/>
    </row>
    <row r="18" spans="1:18" s="111" customFormat="1" ht="15.75" customHeight="1">
      <c r="A18" s="79" t="s">
        <v>39</v>
      </c>
      <c r="B18" s="196" t="s">
        <v>108</v>
      </c>
      <c r="C18" s="287">
        <f>D18+K18+L18</f>
        <v>57620016</v>
      </c>
      <c r="D18" s="289">
        <f>E18+F18+G18+H18+I18+J18</f>
        <v>5272197</v>
      </c>
      <c r="E18" s="391">
        <f>26079+118064+648519+316280+162883+311090+228037+753188+289163+763159+383420+0</f>
        <v>3999882</v>
      </c>
      <c r="F18" s="391">
        <f>55916+300+200</f>
        <v>56416</v>
      </c>
      <c r="G18" s="391">
        <f>11372+26000+88728+3000+32630+48200+5000+1000+9300+50000</f>
        <v>275230</v>
      </c>
      <c r="H18" s="391">
        <f>69602+72480+500+28057+50469+2136+13180+41700+92174+0</f>
        <v>370298</v>
      </c>
      <c r="I18" s="391">
        <f>50000+5330</f>
        <v>55330</v>
      </c>
      <c r="J18" s="391">
        <f>1001+35769+174756+39035+8650+255829+1</f>
        <v>515041</v>
      </c>
      <c r="K18" s="391">
        <f>2535233+7522488+1468297+596142+651449+717329+9735422+4505570+0</f>
        <v>27731930</v>
      </c>
      <c r="L18" s="391">
        <f>2507116+8945169+1032166+4080408+980927+2882837+475448+1205890+1409092+996240+100596</f>
        <v>24615889</v>
      </c>
      <c r="M18" s="278"/>
      <c r="N18" s="110"/>
      <c r="O18" s="110"/>
      <c r="P18" s="110"/>
      <c r="Q18" s="73"/>
      <c r="R18" s="73"/>
    </row>
    <row r="19" spans="1:18" s="111" customFormat="1" ht="15.75" customHeight="1">
      <c r="A19" s="79" t="s">
        <v>40</v>
      </c>
      <c r="B19" s="196" t="s">
        <v>109</v>
      </c>
      <c r="C19" s="287">
        <f aca="true" t="shared" si="3" ref="C19:C26">D19+K19+L19</f>
        <v>8186130</v>
      </c>
      <c r="D19" s="289">
        <f aca="true" t="shared" si="4" ref="D19:D26">E19+F19+G19+H19+I19+J19</f>
        <v>93673</v>
      </c>
      <c r="E19" s="391">
        <f>5452+3150+35855+0</f>
        <v>44457</v>
      </c>
      <c r="F19" s="391">
        <v>0</v>
      </c>
      <c r="G19" s="391">
        <v>12112</v>
      </c>
      <c r="H19" s="391">
        <f>34947+0</f>
        <v>34947</v>
      </c>
      <c r="I19" s="391">
        <v>0</v>
      </c>
      <c r="J19" s="391">
        <v>2157</v>
      </c>
      <c r="K19" s="391">
        <f>30337+155126+25303+111000+1630421+0</f>
        <v>1952187</v>
      </c>
      <c r="L19" s="391">
        <f>52946+188000+11194+696804+159641+270000+3256327+501202+961794+42362</f>
        <v>6140270</v>
      </c>
      <c r="M19" s="278"/>
      <c r="N19" s="110"/>
      <c r="O19" s="110"/>
      <c r="P19" s="110"/>
      <c r="Q19" s="73"/>
      <c r="R19" s="73"/>
    </row>
    <row r="20" spans="1:18" s="111" customFormat="1" ht="15.75" customHeight="1">
      <c r="A20" s="79" t="s">
        <v>110</v>
      </c>
      <c r="B20" s="196" t="s">
        <v>171</v>
      </c>
      <c r="C20" s="287">
        <f t="shared" si="3"/>
        <v>8790</v>
      </c>
      <c r="D20" s="289">
        <f t="shared" si="4"/>
        <v>8790</v>
      </c>
      <c r="E20" s="391">
        <v>3300</v>
      </c>
      <c r="F20" s="391">
        <v>0</v>
      </c>
      <c r="G20" s="391">
        <v>2990</v>
      </c>
      <c r="H20" s="391">
        <v>2500</v>
      </c>
      <c r="I20" s="391">
        <v>0</v>
      </c>
      <c r="J20" s="391">
        <v>0</v>
      </c>
      <c r="K20" s="391">
        <v>0</v>
      </c>
      <c r="L20" s="391">
        <v>0</v>
      </c>
      <c r="M20" s="278"/>
      <c r="N20" s="110"/>
      <c r="O20" s="110"/>
      <c r="P20" s="110"/>
      <c r="Q20" s="73"/>
      <c r="R20" s="73"/>
    </row>
    <row r="21" spans="1:18" s="111" customFormat="1" ht="15.75" customHeight="1">
      <c r="A21" s="79" t="s">
        <v>112</v>
      </c>
      <c r="B21" s="196" t="s">
        <v>111</v>
      </c>
      <c r="C21" s="287">
        <f t="shared" si="3"/>
        <v>661779388</v>
      </c>
      <c r="D21" s="289">
        <f t="shared" si="4"/>
        <v>14218547</v>
      </c>
      <c r="E21" s="391">
        <f>1353887+3140313+1352878+278804+188476+815080+284296+1741151+1317366+779328+37514+0</f>
        <v>11289093</v>
      </c>
      <c r="F21" s="391">
        <f>200+25037</f>
        <v>25237</v>
      </c>
      <c r="G21" s="391">
        <f>38000+332345+54070+65398+3000+54288+82996+12000+637573+51400+6200</f>
        <v>1337270</v>
      </c>
      <c r="H21" s="391">
        <f>13694+15923+284028+62870+54139+277713+226101+41740</f>
        <v>976208</v>
      </c>
      <c r="I21" s="391">
        <f>141270+10000+16269+223467</f>
        <v>391006</v>
      </c>
      <c r="J21" s="391">
        <f>30248+88533+18721+60232+1999</f>
        <v>199733</v>
      </c>
      <c r="K21" s="391">
        <f>50073942+170785984+5652401+12286969+12638979+9706804+82904+54931520+30237446+22026301+208906</f>
        <v>368632156</v>
      </c>
      <c r="L21" s="391">
        <f>14436242+79355898+21262298+18244617+28025612+23517132+6061027+29921250+15551211+41233890+1319508+0</f>
        <v>278928685</v>
      </c>
      <c r="M21" s="278"/>
      <c r="N21" s="110"/>
      <c r="O21" s="110"/>
      <c r="P21" s="110"/>
      <c r="Q21" s="73"/>
      <c r="R21" s="73"/>
    </row>
    <row r="22" spans="1:18" s="111" customFormat="1" ht="15.75" customHeight="1">
      <c r="A22" s="79" t="s">
        <v>114</v>
      </c>
      <c r="B22" s="196" t="s">
        <v>113</v>
      </c>
      <c r="C22" s="287">
        <f t="shared" si="3"/>
        <v>29842604</v>
      </c>
      <c r="D22" s="289">
        <f t="shared" si="4"/>
        <v>150486</v>
      </c>
      <c r="E22" s="389">
        <f>201+12914+19724+10391+13731+0+10044</f>
        <v>67005</v>
      </c>
      <c r="F22" s="389">
        <v>0</v>
      </c>
      <c r="G22" s="389">
        <f>55632</f>
        <v>55632</v>
      </c>
      <c r="H22" s="389">
        <f>1500</f>
        <v>1500</v>
      </c>
      <c r="I22" s="389">
        <v>26349</v>
      </c>
      <c r="J22" s="389">
        <v>0</v>
      </c>
      <c r="K22" s="389">
        <f>1503381+3629974+103302+12376529</f>
        <v>17613186</v>
      </c>
      <c r="L22" s="389">
        <f>27979+56000+528083+120000+238195+696973+143884+2616518+301019+6630323+719958</f>
        <v>12078932</v>
      </c>
      <c r="M22" s="278"/>
      <c r="N22" s="110"/>
      <c r="O22" s="110"/>
      <c r="P22" s="110"/>
      <c r="Q22" s="73"/>
      <c r="R22" s="73"/>
    </row>
    <row r="23" spans="1:18" s="111" customFormat="1" ht="15.75" customHeight="1">
      <c r="A23" s="79" t="s">
        <v>116</v>
      </c>
      <c r="B23" s="196" t="s">
        <v>115</v>
      </c>
      <c r="C23" s="287">
        <f t="shared" si="3"/>
        <v>159496839</v>
      </c>
      <c r="D23" s="289">
        <f t="shared" si="4"/>
        <v>713342</v>
      </c>
      <c r="E23" s="391">
        <f>699922+13420+0</f>
        <v>713342</v>
      </c>
      <c r="F23" s="391">
        <v>0</v>
      </c>
      <c r="G23" s="391">
        <v>0</v>
      </c>
      <c r="H23" s="391">
        <v>0</v>
      </c>
      <c r="I23" s="391">
        <v>0</v>
      </c>
      <c r="J23" s="391">
        <v>0</v>
      </c>
      <c r="K23" s="391">
        <f>36536927+651000</f>
        <v>37187927</v>
      </c>
      <c r="L23" s="391">
        <f>408602+121186968+0</f>
        <v>121595570</v>
      </c>
      <c r="M23" s="278"/>
      <c r="N23" s="110"/>
      <c r="O23" s="110"/>
      <c r="P23" s="110"/>
      <c r="Q23" s="73"/>
      <c r="R23" s="73"/>
    </row>
    <row r="24" spans="1:18" s="111" customFormat="1" ht="24.75" customHeight="1">
      <c r="A24" s="79" t="s">
        <v>118</v>
      </c>
      <c r="B24" s="80" t="s">
        <v>117</v>
      </c>
      <c r="C24" s="287">
        <f t="shared" si="3"/>
        <v>0</v>
      </c>
      <c r="D24" s="289">
        <f t="shared" si="4"/>
        <v>0</v>
      </c>
      <c r="E24" s="391">
        <v>0</v>
      </c>
      <c r="F24" s="391">
        <v>0</v>
      </c>
      <c r="G24" s="391">
        <v>0</v>
      </c>
      <c r="H24" s="391">
        <v>0</v>
      </c>
      <c r="I24" s="391">
        <v>0</v>
      </c>
      <c r="J24" s="391">
        <v>0</v>
      </c>
      <c r="K24" s="391">
        <v>0</v>
      </c>
      <c r="L24" s="391">
        <v>0</v>
      </c>
      <c r="M24" s="278"/>
      <c r="N24" s="110"/>
      <c r="O24" s="110"/>
      <c r="P24" s="110"/>
      <c r="Q24" s="73"/>
      <c r="R24" s="73"/>
    </row>
    <row r="25" spans="1:18" s="111" customFormat="1" ht="15.75" customHeight="1">
      <c r="A25" s="79" t="s">
        <v>154</v>
      </c>
      <c r="B25" s="196" t="s">
        <v>119</v>
      </c>
      <c r="C25" s="287">
        <f t="shared" si="3"/>
        <v>185333890</v>
      </c>
      <c r="D25" s="289">
        <f t="shared" si="4"/>
        <v>1912933</v>
      </c>
      <c r="E25" s="389">
        <f>476568+843931+393379+128609+3722+66724+0</f>
        <v>1912933</v>
      </c>
      <c r="F25" s="389">
        <v>0</v>
      </c>
      <c r="G25" s="389">
        <v>0</v>
      </c>
      <c r="H25" s="389">
        <v>0</v>
      </c>
      <c r="I25" s="389">
        <v>0</v>
      </c>
      <c r="J25" s="389">
        <v>0</v>
      </c>
      <c r="K25" s="389">
        <f>25448592+41097+4308865+35567445+27698365+8581262</f>
        <v>101645626</v>
      </c>
      <c r="L25" s="389">
        <f>138042+305000+1066194+18241726+59155355+2869014</f>
        <v>81775331</v>
      </c>
      <c r="M25" s="278"/>
      <c r="N25" s="110"/>
      <c r="O25" s="110"/>
      <c r="P25" s="110"/>
      <c r="Q25" s="73"/>
      <c r="R25" s="73"/>
    </row>
    <row r="26" spans="1:18" s="111" customFormat="1" ht="21" customHeight="1">
      <c r="A26" s="193" t="s">
        <v>38</v>
      </c>
      <c r="B26" s="198" t="s">
        <v>120</v>
      </c>
      <c r="C26" s="287">
        <f t="shared" si="3"/>
        <v>41356402</v>
      </c>
      <c r="D26" s="289">
        <f t="shared" si="4"/>
        <v>9232929</v>
      </c>
      <c r="E26" s="287">
        <f>51437+234831+122906+398523+157133+217713+106436+572135+726627+972022+918110+0</f>
        <v>4477873</v>
      </c>
      <c r="F26" s="287">
        <v>69752</v>
      </c>
      <c r="G26" s="287">
        <f>7000+1095745+5000+87365+59920+59854+68740+191085+68000</f>
        <v>1642709</v>
      </c>
      <c r="H26" s="287">
        <f>706606+666858+418812+156622+118547+9300+67096+55080+156785+98452</f>
        <v>2454158</v>
      </c>
      <c r="I26" s="287">
        <f>269415+144311+0</f>
        <v>413726</v>
      </c>
      <c r="J26" s="287">
        <f>109299+55792+9620+0</f>
        <v>174711</v>
      </c>
      <c r="K26" s="287">
        <f>6930448+2066176+459439+940050+239269+0</f>
        <v>10635382</v>
      </c>
      <c r="L26" s="287">
        <f>358332+2856167+6449975+7128703+672819+697453+1312446+369644+577450+632156+432946</f>
        <v>21488091</v>
      </c>
      <c r="M26" s="278"/>
      <c r="N26" s="110"/>
      <c r="O26" s="110"/>
      <c r="P26" s="110"/>
      <c r="Q26" s="73"/>
      <c r="R26" s="73"/>
    </row>
    <row r="27" spans="1:18" s="111" customFormat="1" ht="30" customHeight="1" thickBot="1">
      <c r="A27" s="325" t="s">
        <v>43</v>
      </c>
      <c r="B27" s="326" t="s">
        <v>184</v>
      </c>
      <c r="C27" s="392">
        <f>(C18+C19)/C17*100</f>
        <v>5.970069572675487</v>
      </c>
      <c r="D27" s="392">
        <f>(D18+D19+D20)/D17*100</f>
        <v>24.026230167159827</v>
      </c>
      <c r="E27" s="393">
        <f aca="true" t="shared" si="5" ref="E27:L27">(E18+E19+E20)/E17*100</f>
        <v>22.449452612677128</v>
      </c>
      <c r="F27" s="393">
        <f t="shared" si="5"/>
        <v>69.09237872460288</v>
      </c>
      <c r="G27" s="393">
        <f t="shared" si="5"/>
        <v>17.248463374670425</v>
      </c>
      <c r="H27" s="393">
        <f t="shared" si="5"/>
        <v>29.430446215064677</v>
      </c>
      <c r="I27" s="393">
        <f t="shared" si="5"/>
        <v>11.705469816050858</v>
      </c>
      <c r="J27" s="393">
        <f t="shared" si="5"/>
        <v>72.14055466983574</v>
      </c>
      <c r="K27" s="393">
        <f t="shared" si="5"/>
        <v>5.350774359124</v>
      </c>
      <c r="L27" s="393">
        <f t="shared" si="5"/>
        <v>5.856813565560821</v>
      </c>
      <c r="M27" s="278"/>
      <c r="N27" s="110"/>
      <c r="O27" s="110"/>
      <c r="P27" s="110"/>
      <c r="Q27" s="73"/>
      <c r="R27" s="73"/>
    </row>
    <row r="28" spans="1:18" s="100" customFormat="1" ht="15" customHeight="1" thickTop="1">
      <c r="A28" s="1248" t="str">
        <f>'Thông tin'!B7</f>
        <v>Bình Thuận, ngày 06 tháng 4 năm 2016</v>
      </c>
      <c r="B28" s="1248"/>
      <c r="C28" s="1248"/>
      <c r="D28" s="1248"/>
      <c r="E28" s="299"/>
      <c r="F28" s="299"/>
      <c r="G28" s="310"/>
      <c r="H28" s="1247" t="str">
        <f>'Thông tin'!B7</f>
        <v>Bình Thuận, ngày 06 tháng 4 năm 2016</v>
      </c>
      <c r="I28" s="1247"/>
      <c r="J28" s="1247"/>
      <c r="K28" s="1247"/>
      <c r="L28" s="1247"/>
      <c r="M28" s="285"/>
      <c r="N28" s="114"/>
      <c r="O28" s="114"/>
      <c r="P28" s="114"/>
      <c r="Q28" s="114"/>
      <c r="R28" s="114"/>
    </row>
    <row r="29" spans="1:18" s="100" customFormat="1" ht="15" customHeight="1">
      <c r="A29" s="845" t="s">
        <v>4</v>
      </c>
      <c r="B29" s="845"/>
      <c r="C29" s="845"/>
      <c r="D29" s="845"/>
      <c r="E29" s="300"/>
      <c r="F29" s="300"/>
      <c r="G29" s="301"/>
      <c r="H29" s="844" t="s">
        <v>355</v>
      </c>
      <c r="I29" s="844"/>
      <c r="J29" s="844"/>
      <c r="K29" s="844"/>
      <c r="L29" s="844"/>
      <c r="M29" s="285"/>
      <c r="N29" s="114"/>
      <c r="O29" s="114"/>
      <c r="P29" s="114"/>
      <c r="Q29" s="114"/>
      <c r="R29" s="114"/>
    </row>
    <row r="30" spans="1:18" s="100" customFormat="1" ht="15" customHeight="1">
      <c r="A30" s="303"/>
      <c r="B30" s="848"/>
      <c r="C30" s="848"/>
      <c r="D30" s="304"/>
      <c r="E30" s="304"/>
      <c r="F30" s="300"/>
      <c r="G30" s="305"/>
      <c r="H30" s="1235" t="s">
        <v>354</v>
      </c>
      <c r="I30" s="1235"/>
      <c r="J30" s="1235"/>
      <c r="K30" s="1235"/>
      <c r="L30" s="1235"/>
      <c r="M30" s="290"/>
      <c r="N30" s="115"/>
      <c r="O30" s="115"/>
      <c r="P30" s="115"/>
      <c r="Q30" s="114"/>
      <c r="R30" s="114"/>
    </row>
    <row r="31" spans="1:18" s="100" customFormat="1" ht="16.5">
      <c r="A31" s="303"/>
      <c r="B31" s="306"/>
      <c r="C31" s="291"/>
      <c r="D31" s="300"/>
      <c r="E31" s="300"/>
      <c r="F31" s="300"/>
      <c r="G31" s="302"/>
      <c r="H31" s="302"/>
      <c r="I31" s="302"/>
      <c r="J31" s="302"/>
      <c r="K31" s="302"/>
      <c r="L31" s="302"/>
      <c r="M31" s="285"/>
      <c r="N31" s="114"/>
      <c r="O31" s="114"/>
      <c r="P31" s="114"/>
      <c r="Q31" s="114"/>
      <c r="R31" s="114"/>
    </row>
    <row r="32" spans="1:18" s="74" customFormat="1" ht="16.5">
      <c r="A32" s="305"/>
      <c r="B32" s="306"/>
      <c r="C32" s="305"/>
      <c r="D32" s="305"/>
      <c r="E32" s="305"/>
      <c r="F32" s="305"/>
      <c r="G32" s="305"/>
      <c r="H32" s="305"/>
      <c r="I32" s="305"/>
      <c r="J32" s="305"/>
      <c r="K32" s="305"/>
      <c r="L32" s="305"/>
      <c r="M32" s="290"/>
      <c r="N32" s="86"/>
      <c r="O32" s="86"/>
      <c r="P32" s="86"/>
      <c r="Q32" s="86"/>
      <c r="R32" s="86"/>
    </row>
    <row r="33" spans="1:18" s="74" customFormat="1" ht="16.5">
      <c r="A33" s="1235" t="s">
        <v>352</v>
      </c>
      <c r="B33" s="1235"/>
      <c r="C33" s="1235"/>
      <c r="D33" s="1235"/>
      <c r="E33" s="305"/>
      <c r="F33" s="305"/>
      <c r="G33" s="305"/>
      <c r="H33" s="1235" t="s">
        <v>364</v>
      </c>
      <c r="I33" s="1235"/>
      <c r="J33" s="1235"/>
      <c r="K33" s="1235"/>
      <c r="L33" s="1235"/>
      <c r="M33" s="292"/>
      <c r="N33" s="86"/>
      <c r="O33" s="86"/>
      <c r="P33" s="86"/>
      <c r="Q33" s="86"/>
      <c r="R33" s="86"/>
    </row>
    <row r="34" spans="13:18" s="74" customFormat="1" ht="15">
      <c r="M34" s="86"/>
      <c r="N34" s="86"/>
      <c r="O34" s="86"/>
      <c r="P34" s="86"/>
      <c r="Q34" s="86"/>
      <c r="R34" s="86"/>
    </row>
    <row r="35" spans="3:12" ht="15">
      <c r="C35" s="394">
        <f>C26+C17+C14-C11</f>
        <v>0</v>
      </c>
      <c r="D35" s="394">
        <f aca="true" t="shared" si="6" ref="D35:L35">D26+D17+D14-D11</f>
        <v>0</v>
      </c>
      <c r="E35" s="394">
        <f t="shared" si="6"/>
        <v>0</v>
      </c>
      <c r="F35" s="394">
        <f t="shared" si="6"/>
        <v>0</v>
      </c>
      <c r="G35" s="394">
        <f t="shared" si="6"/>
        <v>0</v>
      </c>
      <c r="H35" s="394">
        <f t="shared" si="6"/>
        <v>0</v>
      </c>
      <c r="I35" s="394">
        <f t="shared" si="6"/>
        <v>0</v>
      </c>
      <c r="J35" s="394">
        <f t="shared" si="6"/>
        <v>0</v>
      </c>
      <c r="K35" s="394">
        <f t="shared" si="6"/>
        <v>0</v>
      </c>
      <c r="L35" s="394">
        <f t="shared" si="6"/>
        <v>0</v>
      </c>
    </row>
  </sheetData>
  <sheetProtection/>
  <mergeCells count="29">
    <mergeCell ref="J5:L5"/>
    <mergeCell ref="H28:L28"/>
    <mergeCell ref="H29:L29"/>
    <mergeCell ref="A28:D28"/>
    <mergeCell ref="A29:D29"/>
    <mergeCell ref="D6:L6"/>
    <mergeCell ref="D7:J7"/>
    <mergeCell ref="K7:K9"/>
    <mergeCell ref="L7:L9"/>
    <mergeCell ref="E8:J8"/>
    <mergeCell ref="J4:L4"/>
    <mergeCell ref="D1:I1"/>
    <mergeCell ref="D2:I2"/>
    <mergeCell ref="D3:I3"/>
    <mergeCell ref="D4:I4"/>
    <mergeCell ref="A1:B1"/>
    <mergeCell ref="A3:B3"/>
    <mergeCell ref="A2:C2"/>
    <mergeCell ref="J1:L1"/>
    <mergeCell ref="J2:M2"/>
    <mergeCell ref="J3:L3"/>
    <mergeCell ref="H33:L33"/>
    <mergeCell ref="A33:D33"/>
    <mergeCell ref="B30:C30"/>
    <mergeCell ref="C6:C9"/>
    <mergeCell ref="D8:D9"/>
    <mergeCell ref="A10:B10"/>
    <mergeCell ref="A6:B9"/>
    <mergeCell ref="H30:L30"/>
  </mergeCells>
  <printOptions/>
  <pageMargins left="0" right="0" top="0" bottom="0" header="0.2" footer="0.2"/>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indexed="48"/>
  </sheetPr>
  <dimension ref="A1:D41"/>
  <sheetViews>
    <sheetView zoomScale="90" zoomScaleNormal="90" zoomScalePageLayoutView="0" workbookViewId="0" topLeftCell="A16">
      <selection activeCell="C9" sqref="C9"/>
    </sheetView>
  </sheetViews>
  <sheetFormatPr defaultColWidth="9.00390625" defaultRowHeight="15.75"/>
  <cols>
    <col min="1" max="1" width="4.25390625" style="96" customWidth="1"/>
    <col min="2" max="2" width="70.375" style="96" customWidth="1"/>
    <col min="3" max="3" width="55.00390625" style="96" customWidth="1"/>
    <col min="4" max="4" width="16.00390625" style="96" customWidth="1"/>
    <col min="5" max="16384" width="9.00390625" style="96" customWidth="1"/>
  </cols>
  <sheetData>
    <row r="1" spans="1:3" s="74" customFormat="1" ht="36" customHeight="1">
      <c r="A1" s="1203" t="s">
        <v>175</v>
      </c>
      <c r="B1" s="1265"/>
      <c r="C1" s="1265"/>
    </row>
    <row r="2" spans="1:3" s="131" customFormat="1" ht="26.25" customHeight="1">
      <c r="A2" s="1263" t="s">
        <v>59</v>
      </c>
      <c r="B2" s="1264"/>
      <c r="C2" s="132" t="s">
        <v>241</v>
      </c>
    </row>
    <row r="3" spans="1:3" ht="12.75" customHeight="1">
      <c r="A3" s="1261" t="s">
        <v>5</v>
      </c>
      <c r="B3" s="1262"/>
      <c r="C3" s="91">
        <v>1</v>
      </c>
    </row>
    <row r="4" spans="1:4" ht="15.75" customHeight="1">
      <c r="A4" s="223" t="s">
        <v>37</v>
      </c>
      <c r="B4" s="224" t="s">
        <v>256</v>
      </c>
      <c r="C4" s="229">
        <f>4!C21</f>
        <v>29635038</v>
      </c>
      <c r="D4" s="226">
        <f>C5+C6+C7+C8+C9+C10+C11+C12-C4</f>
        <v>0</v>
      </c>
    </row>
    <row r="5" spans="1:4" s="92" customFormat="1" ht="13.5" customHeight="1">
      <c r="A5" s="94" t="s">
        <v>39</v>
      </c>
      <c r="B5" s="97" t="s">
        <v>137</v>
      </c>
      <c r="C5" s="227">
        <f>528083+13061838+0</f>
        <v>13589921</v>
      </c>
      <c r="D5" s="228"/>
    </row>
    <row r="6" spans="1:4" s="92" customFormat="1" ht="13.5" customHeight="1">
      <c r="A6" s="94" t="s">
        <v>40</v>
      </c>
      <c r="B6" s="97" t="s">
        <v>139</v>
      </c>
      <c r="C6" s="227">
        <f>355554+1242019+17500+301019+6404573+0</f>
        <v>8320665</v>
      </c>
      <c r="D6" s="228"/>
    </row>
    <row r="7" spans="1:4" s="92" customFormat="1" ht="13.5" customHeight="1">
      <c r="A7" s="94" t="s">
        <v>110</v>
      </c>
      <c r="B7" s="97" t="s">
        <v>149</v>
      </c>
      <c r="C7" s="227">
        <v>0</v>
      </c>
      <c r="D7" s="228"/>
    </row>
    <row r="8" spans="1:4" s="92" customFormat="1" ht="13.5" customHeight="1">
      <c r="A8" s="94" t="s">
        <v>112</v>
      </c>
      <c r="B8" s="97" t="s">
        <v>141</v>
      </c>
      <c r="C8" s="227">
        <f>137884+2666920+0</f>
        <v>2804804</v>
      </c>
      <c r="D8" s="228"/>
    </row>
    <row r="9" spans="1:4" s="92" customFormat="1" ht="13.5" customHeight="1">
      <c r="A9" s="94" t="s">
        <v>114</v>
      </c>
      <c r="B9" s="97" t="s">
        <v>125</v>
      </c>
      <c r="C9" s="227">
        <v>4919648</v>
      </c>
      <c r="D9" s="228"/>
    </row>
    <row r="10" spans="1:4" s="92" customFormat="1" ht="13.5" customHeight="1">
      <c r="A10" s="94" t="s">
        <v>116</v>
      </c>
      <c r="B10" s="97" t="s">
        <v>153</v>
      </c>
      <c r="C10" s="227">
        <v>0</v>
      </c>
      <c r="D10" s="228"/>
    </row>
    <row r="11" spans="1:4" s="92" customFormat="1" ht="13.5" customHeight="1">
      <c r="A11" s="94" t="s">
        <v>118</v>
      </c>
      <c r="B11" s="97" t="s">
        <v>127</v>
      </c>
      <c r="C11" s="227">
        <v>0</v>
      </c>
      <c r="D11" s="228"/>
    </row>
    <row r="12" spans="1:4" s="93" customFormat="1" ht="13.5" customHeight="1">
      <c r="A12" s="94" t="s">
        <v>154</v>
      </c>
      <c r="B12" s="97" t="s">
        <v>155</v>
      </c>
      <c r="C12" s="1362">
        <v>0</v>
      </c>
      <c r="D12" s="230"/>
    </row>
    <row r="13" spans="1:4" s="93" customFormat="1" ht="15" customHeight="1">
      <c r="A13" s="223" t="s">
        <v>38</v>
      </c>
      <c r="B13" s="224" t="s">
        <v>257</v>
      </c>
      <c r="C13" s="229">
        <f>4!C22</f>
        <v>158783497</v>
      </c>
      <c r="D13" s="230">
        <f>C14+C15-C13</f>
        <v>0</v>
      </c>
    </row>
    <row r="14" spans="1:4" s="93" customFormat="1" ht="13.5" customHeight="1">
      <c r="A14" s="94" t="s">
        <v>41</v>
      </c>
      <c r="B14" s="97" t="s">
        <v>156</v>
      </c>
      <c r="C14" s="227">
        <v>3689969</v>
      </c>
      <c r="D14" s="230"/>
    </row>
    <row r="15" spans="1:4" s="93" customFormat="1" ht="13.5" customHeight="1">
      <c r="A15" s="94" t="s">
        <v>42</v>
      </c>
      <c r="B15" s="97" t="s">
        <v>129</v>
      </c>
      <c r="C15" s="227">
        <v>155093528</v>
      </c>
      <c r="D15" s="230"/>
    </row>
    <row r="16" spans="1:4" ht="16.5" customHeight="1">
      <c r="A16" s="223" t="s">
        <v>43</v>
      </c>
      <c r="B16" s="225" t="s">
        <v>119</v>
      </c>
      <c r="C16" s="229">
        <f>4!C24</f>
        <v>183473176</v>
      </c>
      <c r="D16" s="226">
        <f>C17+C18+C19-C16</f>
        <v>0</v>
      </c>
    </row>
    <row r="17" spans="1:4" ht="13.5" customHeight="1">
      <c r="A17" s="94" t="s">
        <v>130</v>
      </c>
      <c r="B17" s="97" t="s">
        <v>157</v>
      </c>
      <c r="C17" s="227">
        <f>448702+41097+355000+644574+55153237+16680981+7155176-39894859</f>
        <v>40583908</v>
      </c>
      <c r="D17" s="226"/>
    </row>
    <row r="18" spans="1:4" s="92" customFormat="1" ht="13.5" customHeight="1">
      <c r="A18" s="94" t="s">
        <v>132</v>
      </c>
      <c r="B18" s="97" t="s">
        <v>133</v>
      </c>
      <c r="C18" s="227">
        <f>116542+6066575+34149194+0</f>
        <v>40332311</v>
      </c>
      <c r="D18" s="228"/>
    </row>
    <row r="19" spans="1:4" s="92" customFormat="1" ht="13.5" customHeight="1">
      <c r="A19" s="94" t="s">
        <v>134</v>
      </c>
      <c r="B19" s="60" t="s">
        <v>135</v>
      </c>
      <c r="C19" s="227">
        <v>102556957</v>
      </c>
      <c r="D19" s="228"/>
    </row>
    <row r="20" spans="1:4" s="92" customFormat="1" ht="16.5" customHeight="1">
      <c r="A20" s="239" t="s">
        <v>62</v>
      </c>
      <c r="B20" s="224" t="s">
        <v>252</v>
      </c>
      <c r="C20" s="229">
        <f>4!C19</f>
        <v>8092457</v>
      </c>
      <c r="D20" s="228">
        <f>C21+C22+C23+C24+C25+C26+C27-C20</f>
        <v>0</v>
      </c>
    </row>
    <row r="21" spans="1:4" s="92" customFormat="1" ht="13.5" customHeight="1">
      <c r="A21" s="94" t="s">
        <v>136</v>
      </c>
      <c r="B21" s="97" t="s">
        <v>137</v>
      </c>
      <c r="C21" s="227">
        <v>2389040</v>
      </c>
      <c r="D21" s="228"/>
    </row>
    <row r="22" spans="1:4" s="92" customFormat="1" ht="13.5" customHeight="1">
      <c r="A22" s="94" t="s">
        <v>138</v>
      </c>
      <c r="B22" s="97" t="s">
        <v>139</v>
      </c>
      <c r="C22" s="227">
        <v>0</v>
      </c>
      <c r="D22" s="228"/>
    </row>
    <row r="23" spans="1:4" s="92" customFormat="1" ht="13.5" customHeight="1">
      <c r="A23" s="94" t="s">
        <v>140</v>
      </c>
      <c r="B23" s="97" t="s">
        <v>158</v>
      </c>
      <c r="C23" s="227">
        <f>52946+40337+302804+114400+162000+2596993+135025+0</f>
        <v>3404505</v>
      </c>
      <c r="D23" s="228"/>
    </row>
    <row r="24" spans="1:4" s="92" customFormat="1" ht="13.5" customHeight="1">
      <c r="A24" s="94" t="s">
        <v>142</v>
      </c>
      <c r="B24" s="97" t="s">
        <v>124</v>
      </c>
      <c r="C24" s="227">
        <v>0</v>
      </c>
      <c r="D24" s="228"/>
    </row>
    <row r="25" spans="1:4" s="92" customFormat="1" ht="13.5" customHeight="1">
      <c r="A25" s="94" t="s">
        <v>143</v>
      </c>
      <c r="B25" s="97" t="s">
        <v>159</v>
      </c>
      <c r="C25" s="227">
        <v>2298912</v>
      </c>
      <c r="D25" s="228"/>
    </row>
    <row r="26" spans="1:4" s="92" customFormat="1" ht="13.5" customHeight="1">
      <c r="A26" s="94" t="s">
        <v>144</v>
      </c>
      <c r="B26" s="97" t="s">
        <v>127</v>
      </c>
      <c r="C26" s="227">
        <v>0</v>
      </c>
      <c r="D26" s="228"/>
    </row>
    <row r="27" spans="1:4" s="92" customFormat="1" ht="13.5" customHeight="1">
      <c r="A27" s="94" t="s">
        <v>160</v>
      </c>
      <c r="B27" s="97" t="s">
        <v>161</v>
      </c>
      <c r="C27" s="227">
        <v>0</v>
      </c>
      <c r="D27" s="228"/>
    </row>
    <row r="28" spans="1:4" s="92" customFormat="1" ht="15" customHeight="1">
      <c r="A28" s="223" t="s">
        <v>63</v>
      </c>
      <c r="B28" s="224" t="s">
        <v>258</v>
      </c>
      <c r="C28" s="229">
        <f>4!C25</f>
        <v>32123437</v>
      </c>
      <c r="D28" s="228">
        <f>C29+C30+C31-C28</f>
        <v>0</v>
      </c>
    </row>
    <row r="29" spans="1:4" ht="13.5" customHeight="1">
      <c r="A29" s="94" t="s">
        <v>146</v>
      </c>
      <c r="B29" s="97" t="s">
        <v>137</v>
      </c>
      <c r="C29" s="227">
        <f>432946+448702+582156+267898+1467308+406620+1141925+2481400+4987851+4068073+7155176+0+8213434</f>
        <v>31653489</v>
      </c>
      <c r="D29" s="226"/>
    </row>
    <row r="30" spans="1:4" s="92" customFormat="1" ht="13.5" customHeight="1">
      <c r="A30" s="94" t="s">
        <v>147</v>
      </c>
      <c r="B30" s="97" t="s">
        <v>139</v>
      </c>
      <c r="C30" s="227">
        <v>180</v>
      </c>
      <c r="D30" s="228"/>
    </row>
    <row r="31" spans="1:4" s="92" customFormat="1" ht="15.75" customHeight="1" thickBot="1">
      <c r="A31" s="316" t="s">
        <v>148</v>
      </c>
      <c r="B31" s="317" t="s">
        <v>158</v>
      </c>
      <c r="C31" s="318">
        <f>353278+19754+21235+75501+0</f>
        <v>469768</v>
      </c>
      <c r="D31" s="228"/>
    </row>
    <row r="32" spans="1:3" s="92" customFormat="1" ht="18" customHeight="1" thickTop="1">
      <c r="A32" s="519"/>
      <c r="B32" s="783" t="str">
        <f>'Thông tin'!B7</f>
        <v>Bình Thuận, ngày 06 tháng 4 năm 2016</v>
      </c>
      <c r="C32" s="783" t="str">
        <f>'Thông tin'!B7</f>
        <v>Bình Thuận, ngày 06 tháng 4 năm 2016</v>
      </c>
    </row>
    <row r="33" spans="1:3" s="92" customFormat="1" ht="15.75" customHeight="1">
      <c r="A33" s="518"/>
      <c r="B33" s="521" t="s">
        <v>356</v>
      </c>
      <c r="C33" s="518" t="s">
        <v>355</v>
      </c>
    </row>
    <row r="34" spans="1:3" s="92" customFormat="1" ht="15.75" customHeight="1">
      <c r="A34" s="518"/>
      <c r="B34" s="521"/>
      <c r="C34" s="518" t="s">
        <v>354</v>
      </c>
    </row>
    <row r="35" spans="1:3" s="92" customFormat="1" ht="15.75" customHeight="1">
      <c r="A35" s="518"/>
      <c r="B35" s="521"/>
      <c r="C35" s="518"/>
    </row>
    <row r="36" spans="1:3" s="92" customFormat="1" ht="15.75" customHeight="1">
      <c r="A36" s="518"/>
      <c r="B36" s="521"/>
      <c r="C36" s="518"/>
    </row>
    <row r="37" spans="1:3" s="92" customFormat="1" ht="15.75" customHeight="1">
      <c r="A37" s="522"/>
      <c r="B37" s="521"/>
      <c r="C37" s="496"/>
    </row>
    <row r="38" spans="1:3" ht="16.5">
      <c r="A38" s="1266" t="s">
        <v>357</v>
      </c>
      <c r="B38" s="1266"/>
      <c r="C38" s="496" t="s">
        <v>364</v>
      </c>
    </row>
    <row r="39" spans="1:3" ht="11.25" customHeight="1">
      <c r="A39" s="115"/>
      <c r="B39" s="115"/>
      <c r="C39" s="115"/>
    </row>
    <row r="40" spans="1:3" ht="8.25" customHeight="1">
      <c r="A40" s="115"/>
      <c r="B40" s="115"/>
      <c r="C40" s="115"/>
    </row>
    <row r="41" spans="1:3" ht="15.75">
      <c r="A41" s="115"/>
      <c r="B41" s="115"/>
      <c r="C41" s="115"/>
    </row>
  </sheetData>
  <sheetProtection/>
  <mergeCells count="4">
    <mergeCell ref="A3:B3"/>
    <mergeCell ref="A2:B2"/>
    <mergeCell ref="A1:C1"/>
    <mergeCell ref="A38:B38"/>
  </mergeCells>
  <printOptions/>
  <pageMargins left="0.56" right="0.25" top="0" bottom="0" header="0.5" footer="0.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62"/>
  <sheetViews>
    <sheetView zoomScalePageLayoutView="0" workbookViewId="0" topLeftCell="A10">
      <selection activeCell="H19" sqref="H19"/>
    </sheetView>
  </sheetViews>
  <sheetFormatPr defaultColWidth="9.00390625" defaultRowHeight="15.75"/>
  <cols>
    <col min="1" max="1" width="3.50390625" style="74" customWidth="1"/>
    <col min="2" max="2" width="20.00390625" style="71" customWidth="1"/>
    <col min="3" max="3" width="11.625" style="71" customWidth="1"/>
    <col min="4" max="4" width="10.375" style="71" customWidth="1"/>
    <col min="5" max="5" width="9.625" style="71" customWidth="1"/>
    <col min="6" max="6" width="6.50390625" style="71" customWidth="1"/>
    <col min="7" max="7" width="9.375" style="71" customWidth="1"/>
    <col min="8" max="8" width="7.375" style="71" customWidth="1"/>
    <col min="9" max="9" width="9.375" style="71" customWidth="1"/>
    <col min="10" max="10" width="10.375" style="71" customWidth="1"/>
    <col min="11" max="11" width="7.875" style="71" customWidth="1"/>
    <col min="12" max="12" width="8.75390625" style="71" customWidth="1"/>
    <col min="13" max="13" width="7.375" style="71" customWidth="1"/>
    <col min="14" max="14" width="6.125" style="71" customWidth="1"/>
    <col min="15" max="15" width="5.875" style="71" customWidth="1"/>
    <col min="16" max="16" width="10.50390625" style="71" customWidth="1"/>
    <col min="17" max="17" width="13.50390625" style="71" bestFit="1" customWidth="1"/>
    <col min="18" max="16384" width="9.00390625" style="71" customWidth="1"/>
  </cols>
  <sheetData>
    <row r="1" spans="1:17" ht="24.75" customHeight="1">
      <c r="A1" s="1267" t="s">
        <v>22</v>
      </c>
      <c r="B1" s="1267"/>
      <c r="C1" s="153"/>
      <c r="D1" s="1188" t="s">
        <v>163</v>
      </c>
      <c r="E1" s="1188"/>
      <c r="F1" s="1188"/>
      <c r="G1" s="1188"/>
      <c r="H1" s="1188"/>
      <c r="I1" s="1188"/>
      <c r="J1" s="1188"/>
      <c r="K1" s="1188"/>
      <c r="L1" s="1299" t="s">
        <v>340</v>
      </c>
      <c r="M1" s="1267"/>
      <c r="N1" s="1267"/>
      <c r="O1" s="1267"/>
      <c r="P1" s="82"/>
      <c r="Q1" s="82"/>
    </row>
    <row r="2" spans="1:17" ht="16.5" customHeight="1">
      <c r="A2" s="1267" t="s">
        <v>247</v>
      </c>
      <c r="B2" s="1267"/>
      <c r="C2" s="1267"/>
      <c r="D2" s="1188" t="s">
        <v>151</v>
      </c>
      <c r="E2" s="1188"/>
      <c r="F2" s="1188"/>
      <c r="G2" s="1188"/>
      <c r="H2" s="1188"/>
      <c r="I2" s="1188"/>
      <c r="J2" s="1188"/>
      <c r="K2" s="1188"/>
      <c r="L2" s="1300" t="s">
        <v>347</v>
      </c>
      <c r="M2" s="1300"/>
      <c r="N2" s="1300"/>
      <c r="O2" s="1300"/>
      <c r="P2" s="82"/>
      <c r="Q2" s="155"/>
    </row>
    <row r="3" spans="1:17" ht="16.5" customHeight="1">
      <c r="A3" s="1267" t="s">
        <v>248</v>
      </c>
      <c r="B3" s="1267"/>
      <c r="C3" s="82"/>
      <c r="D3" s="1188" t="s">
        <v>392</v>
      </c>
      <c r="E3" s="1188"/>
      <c r="F3" s="1188"/>
      <c r="G3" s="1188"/>
      <c r="H3" s="1188"/>
      <c r="I3" s="1188"/>
      <c r="J3" s="1188"/>
      <c r="K3" s="1188"/>
      <c r="L3" s="1299" t="s">
        <v>341</v>
      </c>
      <c r="M3" s="1267"/>
      <c r="N3" s="1267"/>
      <c r="O3" s="1267"/>
      <c r="P3" s="82"/>
      <c r="Q3" s="89"/>
    </row>
    <row r="4" spans="1:17" ht="16.5" customHeight="1">
      <c r="A4" s="72" t="s">
        <v>88</v>
      </c>
      <c r="B4" s="72"/>
      <c r="C4" s="156"/>
      <c r="D4" s="1274" t="s">
        <v>393</v>
      </c>
      <c r="E4" s="1274"/>
      <c r="F4" s="1274"/>
      <c r="G4" s="1274"/>
      <c r="H4" s="1274"/>
      <c r="I4" s="1274"/>
      <c r="J4" s="1274"/>
      <c r="K4" s="1274"/>
      <c r="L4" s="1300" t="s">
        <v>350</v>
      </c>
      <c r="M4" s="1300"/>
      <c r="N4" s="1300"/>
      <c r="O4" s="1300"/>
      <c r="P4" s="82"/>
      <c r="Q4" s="89"/>
    </row>
    <row r="5" spans="1:17" ht="16.5" customHeight="1">
      <c r="A5" s="96"/>
      <c r="B5" s="156"/>
      <c r="C5" s="156"/>
      <c r="D5" s="156"/>
      <c r="E5" s="156"/>
      <c r="F5" s="155"/>
      <c r="G5" s="75"/>
      <c r="H5" s="75"/>
      <c r="I5" s="75"/>
      <c r="J5" s="155"/>
      <c r="K5" s="76"/>
      <c r="L5" s="1174" t="s">
        <v>164</v>
      </c>
      <c r="M5" s="1174"/>
      <c r="N5" s="1174"/>
      <c r="O5" s="1174"/>
      <c r="P5" s="82"/>
      <c r="Q5" s="89"/>
    </row>
    <row r="6" spans="1:17" ht="18.75" customHeight="1">
      <c r="A6" s="1288" t="s">
        <v>58</v>
      </c>
      <c r="B6" s="1289"/>
      <c r="C6" s="1278" t="s">
        <v>27</v>
      </c>
      <c r="D6" s="1278" t="s">
        <v>238</v>
      </c>
      <c r="E6" s="1280"/>
      <c r="F6" s="1280"/>
      <c r="G6" s="1280"/>
      <c r="H6" s="1280"/>
      <c r="I6" s="1280"/>
      <c r="J6" s="1280"/>
      <c r="K6" s="1280"/>
      <c r="L6" s="1280"/>
      <c r="M6" s="1280"/>
      <c r="N6" s="1280"/>
      <c r="O6" s="1281"/>
      <c r="P6" s="82"/>
      <c r="Q6" s="89"/>
    </row>
    <row r="7" spans="1:17" ht="20.25" customHeight="1">
      <c r="A7" s="1290"/>
      <c r="B7" s="1291"/>
      <c r="C7" s="1279"/>
      <c r="D7" s="1282" t="s">
        <v>89</v>
      </c>
      <c r="E7" s="1285" t="s">
        <v>90</v>
      </c>
      <c r="F7" s="1286"/>
      <c r="G7" s="1287"/>
      <c r="H7" s="1268" t="s">
        <v>91</v>
      </c>
      <c r="I7" s="1268" t="s">
        <v>92</v>
      </c>
      <c r="J7" s="1268" t="s">
        <v>168</v>
      </c>
      <c r="K7" s="1268" t="s">
        <v>94</v>
      </c>
      <c r="L7" s="1268" t="s">
        <v>95</v>
      </c>
      <c r="M7" s="1268" t="s">
        <v>96</v>
      </c>
      <c r="N7" s="1268" t="s">
        <v>152</v>
      </c>
      <c r="O7" s="1268" t="s">
        <v>97</v>
      </c>
      <c r="P7" s="89"/>
      <c r="Q7" s="89"/>
    </row>
    <row r="8" spans="1:17" ht="21.75" customHeight="1">
      <c r="A8" s="1290"/>
      <c r="B8" s="1291"/>
      <c r="C8" s="1279"/>
      <c r="D8" s="1283"/>
      <c r="E8" s="1270" t="s">
        <v>26</v>
      </c>
      <c r="F8" s="1272" t="s">
        <v>6</v>
      </c>
      <c r="G8" s="1273"/>
      <c r="H8" s="1268"/>
      <c r="I8" s="1268"/>
      <c r="J8" s="1268"/>
      <c r="K8" s="1268"/>
      <c r="L8" s="1268"/>
      <c r="M8" s="1268"/>
      <c r="N8" s="1268"/>
      <c r="O8" s="1268"/>
      <c r="P8" s="1275"/>
      <c r="Q8" s="1275"/>
    </row>
    <row r="9" spans="1:17" ht="48" customHeight="1">
      <c r="A9" s="1292"/>
      <c r="B9" s="1293"/>
      <c r="C9" s="1279"/>
      <c r="D9" s="1284"/>
      <c r="E9" s="1271"/>
      <c r="F9" s="235" t="s">
        <v>98</v>
      </c>
      <c r="G9" s="236" t="s">
        <v>99</v>
      </c>
      <c r="H9" s="1269"/>
      <c r="I9" s="1269"/>
      <c r="J9" s="1269"/>
      <c r="K9" s="1269"/>
      <c r="L9" s="1269"/>
      <c r="M9" s="1269"/>
      <c r="N9" s="1269"/>
      <c r="O9" s="1269"/>
      <c r="P9" s="157"/>
      <c r="Q9" s="157"/>
    </row>
    <row r="10" spans="1:17" s="104" customFormat="1" ht="14.25" customHeight="1">
      <c r="A10" s="1276" t="s">
        <v>28</v>
      </c>
      <c r="B10" s="1277"/>
      <c r="C10" s="231">
        <v>1</v>
      </c>
      <c r="D10" s="231">
        <v>2</v>
      </c>
      <c r="E10" s="231">
        <v>3</v>
      </c>
      <c r="F10" s="231">
        <v>4</v>
      </c>
      <c r="G10" s="231">
        <v>5</v>
      </c>
      <c r="H10" s="231">
        <v>6</v>
      </c>
      <c r="I10" s="231">
        <v>7</v>
      </c>
      <c r="J10" s="231">
        <v>8</v>
      </c>
      <c r="K10" s="231">
        <v>9</v>
      </c>
      <c r="L10" s="231">
        <v>10</v>
      </c>
      <c r="M10" s="231">
        <v>11</v>
      </c>
      <c r="N10" s="231">
        <v>12</v>
      </c>
      <c r="O10" s="231">
        <v>13</v>
      </c>
      <c r="P10" s="161"/>
      <c r="Q10" s="161"/>
    </row>
    <row r="11" spans="1:17" ht="21" customHeight="1">
      <c r="A11" s="192" t="s">
        <v>0</v>
      </c>
      <c r="B11" s="195" t="s">
        <v>100</v>
      </c>
      <c r="C11" s="232">
        <f>C12+C13</f>
        <v>1120032825</v>
      </c>
      <c r="D11" s="232">
        <f aca="true" t="shared" si="0" ref="D11:O11">D12+D13</f>
        <v>730669431</v>
      </c>
      <c r="E11" s="232">
        <f t="shared" si="0"/>
        <v>33738315</v>
      </c>
      <c r="F11" s="232">
        <f t="shared" si="0"/>
        <v>8410</v>
      </c>
      <c r="G11" s="232">
        <f t="shared" si="0"/>
        <v>33729905</v>
      </c>
      <c r="H11" s="232">
        <f t="shared" si="0"/>
        <v>400000</v>
      </c>
      <c r="I11" s="232">
        <f t="shared" si="0"/>
        <v>18372255</v>
      </c>
      <c r="J11" s="232">
        <f t="shared" si="0"/>
        <v>332722241</v>
      </c>
      <c r="K11" s="232">
        <f t="shared" si="0"/>
        <v>847073</v>
      </c>
      <c r="L11" s="232">
        <f t="shared" si="0"/>
        <v>3074589</v>
      </c>
      <c r="M11" s="232">
        <f t="shared" si="0"/>
        <v>208921</v>
      </c>
      <c r="N11" s="232">
        <f t="shared" si="0"/>
        <v>0</v>
      </c>
      <c r="O11" s="232">
        <f t="shared" si="0"/>
        <v>0</v>
      </c>
      <c r="P11" s="382">
        <f>P12+P13</f>
        <v>1152605020</v>
      </c>
      <c r="Q11" s="89"/>
    </row>
    <row r="12" spans="1:17" ht="21" customHeight="1">
      <c r="A12" s="79">
        <v>1</v>
      </c>
      <c r="B12" s="196" t="s">
        <v>101</v>
      </c>
      <c r="C12" s="232">
        <f>D12+E12+H12+I12+J12+K12+L12+M12+N12+O12</f>
        <v>927872167</v>
      </c>
      <c r="D12" s="371">
        <f>37581518+287858675+75141287+28468583+26105698+16725996+2871754+56819900+52748909+6618960+1756416+0-3175401</f>
        <v>589522295</v>
      </c>
      <c r="E12" s="233">
        <f>F12+G12</f>
        <v>22812221</v>
      </c>
      <c r="F12" s="371">
        <v>3600</v>
      </c>
      <c r="G12" s="371">
        <f>28359+285578+124619+3672248+113849+709514+430341+713169+1284372+1850950+13595622+0</f>
        <v>22808621</v>
      </c>
      <c r="H12" s="371">
        <v>400000</v>
      </c>
      <c r="I12" s="371">
        <f>46000+4235491+618157+314963+565916+1028923+341752+1855409+40000+265015+35200</f>
        <v>9346826</v>
      </c>
      <c r="J12" s="371">
        <f>0+24794070+25503761+26409156+3223080+4659699+10327593+185329675+30230334+0-8485070</f>
        <v>301992298</v>
      </c>
      <c r="K12" s="371">
        <v>515017</v>
      </c>
      <c r="L12" s="371">
        <v>3074589</v>
      </c>
      <c r="M12" s="371">
        <v>208921</v>
      </c>
      <c r="N12" s="234">
        <v>0</v>
      </c>
      <c r="O12" s="234">
        <v>0</v>
      </c>
      <c r="P12" s="381">
        <f>C12+3!C12</f>
        <v>950640851</v>
      </c>
      <c r="Q12" s="89"/>
    </row>
    <row r="13" spans="1:17" ht="21" customHeight="1">
      <c r="A13" s="79">
        <v>2</v>
      </c>
      <c r="B13" s="196" t="s">
        <v>102</v>
      </c>
      <c r="C13" s="232">
        <f>D13+E13+H13+I13+J13+K13+L13+M13+N13+O13</f>
        <v>192160658</v>
      </c>
      <c r="D13" s="234">
        <f>11539589+25227578+13376973+13244307+13849413+16680460+5039641+5795624+30060337+6263214+70000+0</f>
        <v>141147136</v>
      </c>
      <c r="E13" s="233">
        <f>F13+G13</f>
        <v>10926094</v>
      </c>
      <c r="F13" s="234">
        <v>4810</v>
      </c>
      <c r="G13" s="234">
        <f>5700559+1130584+450185+490261+757153+295821+287310+804395+844750+160266+0</f>
        <v>10921284</v>
      </c>
      <c r="H13" s="234">
        <v>0</v>
      </c>
      <c r="I13" s="234">
        <f>44000+141400+222900+2594624+374585+1109895+895117+380500+1774098+1488310</f>
        <v>9025429</v>
      </c>
      <c r="J13" s="234">
        <f>208906+1574828+418100+43493+1843162+24905546+1735908</f>
        <v>30729943</v>
      </c>
      <c r="K13" s="234">
        <v>332056</v>
      </c>
      <c r="L13" s="234">
        <v>0</v>
      </c>
      <c r="M13" s="234">
        <v>0</v>
      </c>
      <c r="N13" s="234">
        <v>0</v>
      </c>
      <c r="O13" s="234">
        <v>0</v>
      </c>
      <c r="P13" s="694">
        <f>C13+3!C13</f>
        <v>201964169</v>
      </c>
      <c r="Q13" s="89"/>
    </row>
    <row r="14" spans="1:17" ht="22.5" customHeight="1">
      <c r="A14" s="194" t="s">
        <v>1</v>
      </c>
      <c r="B14" s="197" t="s">
        <v>103</v>
      </c>
      <c r="C14" s="232">
        <f>D14+E14+H14+I14+J14+K14+L14+M14+N14+O14</f>
        <v>8713069</v>
      </c>
      <c r="D14" s="377">
        <f>6015046+1388926+150000+14060</f>
        <v>7568032</v>
      </c>
      <c r="E14" s="233">
        <f>F14+G14</f>
        <v>1136537</v>
      </c>
      <c r="F14" s="377">
        <v>0</v>
      </c>
      <c r="G14" s="377">
        <f>201999+100445+250985+1000+582108+0</f>
        <v>1136537</v>
      </c>
      <c r="H14" s="377">
        <v>0</v>
      </c>
      <c r="I14" s="377">
        <f>2500+6000+0</f>
        <v>8500</v>
      </c>
      <c r="J14" s="377">
        <v>0</v>
      </c>
      <c r="K14" s="377">
        <v>0</v>
      </c>
      <c r="L14" s="377">
        <v>0</v>
      </c>
      <c r="M14" s="377">
        <v>0</v>
      </c>
      <c r="N14" s="377">
        <v>0</v>
      </c>
      <c r="O14" s="377">
        <v>0</v>
      </c>
      <c r="P14" s="693">
        <f>C14+3!C14</f>
        <v>8980961</v>
      </c>
      <c r="Q14" s="89"/>
    </row>
    <row r="15" spans="1:17" ht="21.75" customHeight="1">
      <c r="A15" s="194" t="s">
        <v>9</v>
      </c>
      <c r="B15" s="197" t="s">
        <v>104</v>
      </c>
      <c r="C15" s="232">
        <f>D15+E15+H15+I15+J15+K15+L15+M15+N15+O15</f>
        <v>33474154</v>
      </c>
      <c r="D15" s="377">
        <v>0</v>
      </c>
      <c r="E15" s="233">
        <f>F15+G15</f>
        <v>0</v>
      </c>
      <c r="F15" s="377">
        <v>0</v>
      </c>
      <c r="G15" s="377">
        <v>0</v>
      </c>
      <c r="H15" s="377">
        <v>0</v>
      </c>
      <c r="I15" s="377">
        <v>0</v>
      </c>
      <c r="J15" s="377">
        <f>8485070+20634084+0+4355000</f>
        <v>33474154</v>
      </c>
      <c r="K15" s="377">
        <v>0</v>
      </c>
      <c r="L15" s="377">
        <v>0</v>
      </c>
      <c r="M15" s="377">
        <v>0</v>
      </c>
      <c r="N15" s="377">
        <v>0</v>
      </c>
      <c r="O15" s="377">
        <v>0</v>
      </c>
      <c r="P15" s="383">
        <f>C15+3!C15</f>
        <v>33610464</v>
      </c>
      <c r="Q15" s="89"/>
    </row>
    <row r="16" spans="1:17" ht="21" customHeight="1">
      <c r="A16" s="193" t="s">
        <v>105</v>
      </c>
      <c r="B16" s="198" t="s">
        <v>106</v>
      </c>
      <c r="C16" s="372">
        <f>C17+C25</f>
        <v>1111319756</v>
      </c>
      <c r="D16" s="372">
        <f aca="true" t="shared" si="1" ref="D16:O16">D17+D25</f>
        <v>723101399</v>
      </c>
      <c r="E16" s="372">
        <f t="shared" si="1"/>
        <v>32601778</v>
      </c>
      <c r="F16" s="372">
        <f t="shared" si="1"/>
        <v>8410</v>
      </c>
      <c r="G16" s="372">
        <f t="shared" si="1"/>
        <v>32593368</v>
      </c>
      <c r="H16" s="372">
        <f t="shared" si="1"/>
        <v>400000</v>
      </c>
      <c r="I16" s="372">
        <f t="shared" si="1"/>
        <v>18363755</v>
      </c>
      <c r="J16" s="372">
        <f t="shared" si="1"/>
        <v>332722241</v>
      </c>
      <c r="K16" s="372">
        <f t="shared" si="1"/>
        <v>847073</v>
      </c>
      <c r="L16" s="372">
        <f t="shared" si="1"/>
        <v>3074589</v>
      </c>
      <c r="M16" s="372">
        <f t="shared" si="1"/>
        <v>208921</v>
      </c>
      <c r="N16" s="372">
        <f t="shared" si="1"/>
        <v>0</v>
      </c>
      <c r="O16" s="373">
        <f t="shared" si="1"/>
        <v>0</v>
      </c>
      <c r="P16" s="385">
        <f>P17+P25</f>
        <v>1143624059</v>
      </c>
      <c r="Q16" s="82"/>
    </row>
    <row r="17" spans="1:17" ht="21" customHeight="1">
      <c r="A17" s="193" t="s">
        <v>37</v>
      </c>
      <c r="B17" s="199" t="s">
        <v>107</v>
      </c>
      <c r="C17" s="232">
        <f>C18+C19+C20+C21+C22+C23+C24</f>
        <v>1079196319</v>
      </c>
      <c r="D17" s="232">
        <f aca="true" t="shared" si="2" ref="D17:O17">D18+D19+D20+D21+D22+D23+D24</f>
        <v>703637661</v>
      </c>
      <c r="E17" s="232">
        <f t="shared" si="2"/>
        <v>23631426</v>
      </c>
      <c r="F17" s="232">
        <f t="shared" si="2"/>
        <v>8410</v>
      </c>
      <c r="G17" s="232">
        <f t="shared" si="2"/>
        <v>23623016</v>
      </c>
      <c r="H17" s="232">
        <f t="shared" si="2"/>
        <v>400000</v>
      </c>
      <c r="I17" s="232">
        <f t="shared" si="2"/>
        <v>16769151</v>
      </c>
      <c r="J17" s="232">
        <f t="shared" si="2"/>
        <v>330627498</v>
      </c>
      <c r="K17" s="232">
        <f t="shared" si="2"/>
        <v>847073</v>
      </c>
      <c r="L17" s="232">
        <f t="shared" si="2"/>
        <v>3074589</v>
      </c>
      <c r="M17" s="232">
        <f t="shared" si="2"/>
        <v>208921</v>
      </c>
      <c r="N17" s="232">
        <f t="shared" si="2"/>
        <v>0</v>
      </c>
      <c r="O17" s="232">
        <f t="shared" si="2"/>
        <v>0</v>
      </c>
      <c r="P17" s="385">
        <f>P18+P19+P20+P21+P22+P23+P24+3!C20</f>
        <v>1102267657</v>
      </c>
      <c r="Q17" s="82"/>
    </row>
    <row r="18" spans="1:17" ht="22.5" customHeight="1">
      <c r="A18" s="79" t="s">
        <v>39</v>
      </c>
      <c r="B18" s="196" t="s">
        <v>108</v>
      </c>
      <c r="C18" s="232">
        <f>D18+E18+H18+I18+J18+K18+L18+M18+N18+O18</f>
        <v>51698193</v>
      </c>
      <c r="D18" s="378">
        <f>73596+1235729+5306439+5603013+1128881+1931572+445458+4776534+885004+7329561+4267891</f>
        <v>32983678</v>
      </c>
      <c r="E18" s="379">
        <f>F18+G18</f>
        <v>2307192</v>
      </c>
      <c r="F18" s="378">
        <v>4800</v>
      </c>
      <c r="G18" s="378">
        <f>741960+149299+15962+100941+332774+165370+12350+617294+118271+48135+0+36</f>
        <v>2302392</v>
      </c>
      <c r="H18" s="378">
        <v>0</v>
      </c>
      <c r="I18" s="378">
        <f>24000+1689707+131200+66200+58837+568130+51546+221583+68100+67001+27000+0</f>
        <v>2973304</v>
      </c>
      <c r="J18" s="378">
        <f>21000+7244290+605030+740000+206049+4499422+10000+58228+0</f>
        <v>13384019</v>
      </c>
      <c r="K18" s="378">
        <v>50000</v>
      </c>
      <c r="L18" s="378">
        <v>0</v>
      </c>
      <c r="M18" s="378">
        <v>0</v>
      </c>
      <c r="N18" s="234">
        <v>0</v>
      </c>
      <c r="O18" s="234">
        <v>0</v>
      </c>
      <c r="P18" s="384">
        <f>C18+3!C18</f>
        <v>57620016</v>
      </c>
      <c r="Q18" s="82"/>
    </row>
    <row r="19" spans="1:17" ht="20.25" customHeight="1">
      <c r="A19" s="79" t="s">
        <v>40</v>
      </c>
      <c r="B19" s="196" t="s">
        <v>109</v>
      </c>
      <c r="C19" s="232">
        <f aca="true" t="shared" si="3" ref="C19:C25">D19+E19+H19+I19+J19+K19+L19+M19+N19+O19</f>
        <v>8092457</v>
      </c>
      <c r="D19" s="378">
        <f>1135923+1011079+501202+3131575+14000+283367+98804+186337+6294+52946+0</f>
        <v>6421527</v>
      </c>
      <c r="E19" s="379">
        <f aca="true" t="shared" si="4" ref="E19:E25">F19+G19</f>
        <v>190120</v>
      </c>
      <c r="F19" s="378">
        <v>0</v>
      </c>
      <c r="G19" s="378">
        <f>40065+150055+0</f>
        <v>190120</v>
      </c>
      <c r="H19" s="378">
        <v>0</v>
      </c>
      <c r="I19" s="378">
        <f>4900+32000+598000+31400+256000+20650</f>
        <v>942950</v>
      </c>
      <c r="J19" s="378">
        <f>1000+536860</f>
        <v>537860</v>
      </c>
      <c r="K19" s="378">
        <v>0</v>
      </c>
      <c r="L19" s="378">
        <v>0</v>
      </c>
      <c r="M19" s="378">
        <v>0</v>
      </c>
      <c r="N19" s="234">
        <v>0</v>
      </c>
      <c r="O19" s="234">
        <v>0</v>
      </c>
      <c r="P19" s="694">
        <f>C19+3!C19</f>
        <v>8186130</v>
      </c>
      <c r="Q19" s="82"/>
    </row>
    <row r="20" spans="1:17" ht="21" customHeight="1">
      <c r="A20" s="79" t="s">
        <v>110</v>
      </c>
      <c r="B20" s="196" t="s">
        <v>111</v>
      </c>
      <c r="C20" s="232">
        <f t="shared" si="3"/>
        <v>647513958</v>
      </c>
      <c r="D20" s="378">
        <f>1242549+10706778+71158084+55177783+5416909+29984069+38868269+21785824+23614368+117287861+38813172</f>
        <v>414055666</v>
      </c>
      <c r="E20" s="379">
        <f t="shared" si="4"/>
        <v>17525114</v>
      </c>
      <c r="F20" s="378">
        <v>3610</v>
      </c>
      <c r="G20" s="378">
        <f>28359+359669+118283+3766403+266831+314378+441801+316901+1097776+1801333+9009770+0</f>
        <v>17521504</v>
      </c>
      <c r="H20" s="378">
        <v>0</v>
      </c>
      <c r="I20" s="378">
        <f>48600+200394+149800+3580750+460011+1350586+900796+619263+2202555+2048612+22000</f>
        <v>11583367</v>
      </c>
      <c r="J20" s="378">
        <f>208906+26310670+45169+22327834+1557143+453725+7809598+128203393+16427379</f>
        <v>203343817</v>
      </c>
      <c r="K20" s="378">
        <v>797073</v>
      </c>
      <c r="L20" s="378">
        <v>0</v>
      </c>
      <c r="M20" s="378">
        <v>208921</v>
      </c>
      <c r="N20" s="234">
        <v>0</v>
      </c>
      <c r="O20" s="234">
        <v>0</v>
      </c>
      <c r="P20" s="694">
        <f>C20+3!C21</f>
        <v>661779388</v>
      </c>
      <c r="Q20" s="82"/>
    </row>
    <row r="21" spans="1:17" ht="21" customHeight="1">
      <c r="A21" s="79" t="s">
        <v>112</v>
      </c>
      <c r="B21" s="196" t="s">
        <v>113</v>
      </c>
      <c r="C21" s="232">
        <f t="shared" si="3"/>
        <v>29635038</v>
      </c>
      <c r="D21" s="234">
        <f>3022697+6396323+287519+2719820+299384+696973+236375+120000+56000+528083+24379+0</f>
        <v>14387553</v>
      </c>
      <c r="E21" s="379">
        <f t="shared" si="4"/>
        <v>570000</v>
      </c>
      <c r="F21" s="234">
        <v>0</v>
      </c>
      <c r="G21" s="234">
        <f>570000+0</f>
        <v>570000</v>
      </c>
      <c r="H21" s="234">
        <v>0</v>
      </c>
      <c r="I21" s="234">
        <f>234000+13500+8500+2000+3600+0</f>
        <v>261600</v>
      </c>
      <c r="J21" s="234">
        <f>9446530+0+3465974+1503381+0</f>
        <v>14415885</v>
      </c>
      <c r="K21" s="234">
        <v>0</v>
      </c>
      <c r="L21" s="234">
        <v>0</v>
      </c>
      <c r="M21" s="234">
        <v>0</v>
      </c>
      <c r="N21" s="234">
        <v>0</v>
      </c>
      <c r="O21" s="234">
        <v>0</v>
      </c>
      <c r="P21" s="694">
        <f>C21+3!C22</f>
        <v>29842604</v>
      </c>
      <c r="Q21" s="82"/>
    </row>
    <row r="22" spans="1:17" ht="21" customHeight="1">
      <c r="A22" s="79" t="s">
        <v>114</v>
      </c>
      <c r="B22" s="196" t="s">
        <v>115</v>
      </c>
      <c r="C22" s="232">
        <f t="shared" si="3"/>
        <v>158783497</v>
      </c>
      <c r="D22" s="378">
        <f>120330580+659602+0</f>
        <v>120990182</v>
      </c>
      <c r="E22" s="379">
        <f t="shared" si="4"/>
        <v>0</v>
      </c>
      <c r="F22" s="378">
        <v>0</v>
      </c>
      <c r="G22" s="378">
        <v>0</v>
      </c>
      <c r="H22" s="378">
        <v>400000</v>
      </c>
      <c r="I22" s="378">
        <v>856388</v>
      </c>
      <c r="J22" s="378">
        <f>36536927</f>
        <v>36536927</v>
      </c>
      <c r="K22" s="378">
        <v>0</v>
      </c>
      <c r="L22" s="378">
        <v>0</v>
      </c>
      <c r="M22" s="378">
        <v>0</v>
      </c>
      <c r="N22" s="234">
        <v>0</v>
      </c>
      <c r="O22" s="234">
        <v>0</v>
      </c>
      <c r="P22" s="694">
        <f>C22+3!C23</f>
        <v>159496839</v>
      </c>
      <c r="Q22" s="82"/>
    </row>
    <row r="23" spans="1:17" ht="25.5">
      <c r="A23" s="79" t="s">
        <v>116</v>
      </c>
      <c r="B23" s="80" t="s">
        <v>117</v>
      </c>
      <c r="C23" s="232">
        <f t="shared" si="3"/>
        <v>0</v>
      </c>
      <c r="D23" s="378">
        <v>0</v>
      </c>
      <c r="E23" s="379">
        <f t="shared" si="4"/>
        <v>0</v>
      </c>
      <c r="F23" s="378">
        <v>0</v>
      </c>
      <c r="G23" s="378">
        <v>0</v>
      </c>
      <c r="H23" s="378">
        <v>0</v>
      </c>
      <c r="I23" s="378">
        <v>0</v>
      </c>
      <c r="J23" s="378">
        <v>0</v>
      </c>
      <c r="K23" s="378">
        <v>0</v>
      </c>
      <c r="L23" s="378">
        <v>0</v>
      </c>
      <c r="M23" s="378">
        <v>0</v>
      </c>
      <c r="N23" s="234">
        <v>0</v>
      </c>
      <c r="O23" s="234">
        <v>0</v>
      </c>
      <c r="P23" s="381">
        <f>C23+3!C24</f>
        <v>0</v>
      </c>
      <c r="Q23" s="82"/>
    </row>
    <row r="24" spans="1:17" ht="21" customHeight="1">
      <c r="A24" s="79" t="s">
        <v>118</v>
      </c>
      <c r="B24" s="196" t="s">
        <v>119</v>
      </c>
      <c r="C24" s="232">
        <f t="shared" si="3"/>
        <v>183473176</v>
      </c>
      <c r="D24" s="234">
        <f>59155355+53685171+1615932+280000+21500+41097+0</f>
        <v>114799055</v>
      </c>
      <c r="E24" s="379">
        <f t="shared" si="4"/>
        <v>3039000</v>
      </c>
      <c r="F24" s="234">
        <v>0</v>
      </c>
      <c r="G24" s="234">
        <f>25000+92000+2922000</f>
        <v>3039000</v>
      </c>
      <c r="H24" s="234">
        <v>0</v>
      </c>
      <c r="I24" s="234">
        <f>32000+3000+116542+0</f>
        <v>151542</v>
      </c>
      <c r="J24" s="234">
        <f>25448592+3756127+27698365+5505906+0</f>
        <v>62408990</v>
      </c>
      <c r="K24" s="234">
        <v>0</v>
      </c>
      <c r="L24" s="234">
        <v>3074589</v>
      </c>
      <c r="M24" s="234">
        <v>0</v>
      </c>
      <c r="N24" s="234">
        <v>0</v>
      </c>
      <c r="O24" s="234">
        <v>0</v>
      </c>
      <c r="P24" s="694">
        <f>C24+3!C25</f>
        <v>185333890</v>
      </c>
      <c r="Q24" s="82"/>
    </row>
    <row r="25" spans="1:17" ht="21" customHeight="1">
      <c r="A25" s="193" t="s">
        <v>38</v>
      </c>
      <c r="B25" s="198" t="s">
        <v>120</v>
      </c>
      <c r="C25" s="232">
        <f t="shared" si="3"/>
        <v>32123437</v>
      </c>
      <c r="D25" s="232">
        <f>432946+405290+88340+226998+1088133+338975+48000+7683205+6368595+1575494+1207762</f>
        <v>19463738</v>
      </c>
      <c r="E25" s="379">
        <f t="shared" si="4"/>
        <v>8970352</v>
      </c>
      <c r="F25" s="232">
        <v>0</v>
      </c>
      <c r="G25" s="232">
        <f>6052415+408729+527819+384548+387919+525587+21533+92946+530816+38040+0</f>
        <v>8970352</v>
      </c>
      <c r="H25" s="232">
        <v>0</v>
      </c>
      <c r="I25" s="232">
        <f>871944+13000+1000+236900+72160+202780+49700+13000+134120+0</f>
        <v>1594604</v>
      </c>
      <c r="J25" s="232">
        <f>28567+2066176+0</f>
        <v>2094743</v>
      </c>
      <c r="K25" s="232">
        <v>0</v>
      </c>
      <c r="L25" s="232">
        <v>0</v>
      </c>
      <c r="M25" s="232">
        <v>0</v>
      </c>
      <c r="N25" s="380">
        <v>0</v>
      </c>
      <c r="O25" s="380">
        <v>0</v>
      </c>
      <c r="P25" s="695">
        <f>C25+3!C26</f>
        <v>41356402</v>
      </c>
      <c r="Q25" s="82"/>
    </row>
    <row r="26" spans="1:17" ht="25.5" customHeight="1" thickBot="1">
      <c r="A26" s="325" t="s">
        <v>43</v>
      </c>
      <c r="B26" s="326" t="s">
        <v>121</v>
      </c>
      <c r="C26" s="374">
        <f>(C18+C19)/C17*100</f>
        <v>5.54029410102167</v>
      </c>
      <c r="D26" s="375">
        <f aca="true" t="shared" si="5" ref="D26:O26">(D18+D19)/D17*100</f>
        <v>5.600212607153215</v>
      </c>
      <c r="E26" s="374">
        <f t="shared" si="5"/>
        <v>10.567758373955089</v>
      </c>
      <c r="F26" s="375">
        <f t="shared" si="5"/>
        <v>57.07491082045184</v>
      </c>
      <c r="G26" s="375">
        <f t="shared" si="5"/>
        <v>10.551201421528903</v>
      </c>
      <c r="H26" s="375">
        <f t="shared" si="5"/>
        <v>0</v>
      </c>
      <c r="I26" s="375">
        <f t="shared" si="5"/>
        <v>23.353919348689743</v>
      </c>
      <c r="J26" s="375">
        <f t="shared" si="5"/>
        <v>4.210744443282815</v>
      </c>
      <c r="K26" s="375">
        <f t="shared" si="5"/>
        <v>5.90267898988635</v>
      </c>
      <c r="L26" s="375">
        <f t="shared" si="5"/>
        <v>0</v>
      </c>
      <c r="M26" s="375">
        <f t="shared" si="5"/>
        <v>0</v>
      </c>
      <c r="N26" s="396" t="e">
        <f t="shared" si="5"/>
        <v>#DIV/0!</v>
      </c>
      <c r="O26" s="396" t="e">
        <f t="shared" si="5"/>
        <v>#DIV/0!</v>
      </c>
      <c r="P26" s="383">
        <f>P25+P24+P23+P22+P21+P20+3!C20</f>
        <v>1077817913</v>
      </c>
      <c r="Q26" s="82"/>
    </row>
    <row r="27" spans="1:15" s="82" customFormat="1" ht="15.75" customHeight="1" thickTop="1">
      <c r="A27" s="81"/>
      <c r="B27" s="106"/>
      <c r="K27" s="162"/>
      <c r="L27" s="162"/>
      <c r="M27" s="162"/>
      <c r="N27" s="1298" t="s">
        <v>7</v>
      </c>
      <c r="O27" s="1298"/>
    </row>
    <row r="28" spans="1:17" s="73" customFormat="1" ht="21.75" customHeight="1">
      <c r="A28" s="159"/>
      <c r="B28" s="76"/>
      <c r="C28" s="376">
        <f>C25+C17+C14-C11</f>
        <v>0</v>
      </c>
      <c r="D28" s="376">
        <f aca="true" t="shared" si="6" ref="D28:O28">D25+D17+D14-D11</f>
        <v>0</v>
      </c>
      <c r="E28" s="376">
        <f t="shared" si="6"/>
        <v>0</v>
      </c>
      <c r="F28" s="376">
        <f t="shared" si="6"/>
        <v>0</v>
      </c>
      <c r="G28" s="376">
        <f t="shared" si="6"/>
        <v>0</v>
      </c>
      <c r="H28" s="376">
        <f t="shared" si="6"/>
        <v>0</v>
      </c>
      <c r="I28" s="376">
        <f t="shared" si="6"/>
        <v>0</v>
      </c>
      <c r="J28" s="376">
        <f t="shared" si="6"/>
        <v>0</v>
      </c>
      <c r="K28" s="376">
        <f t="shared" si="6"/>
        <v>0</v>
      </c>
      <c r="L28" s="376">
        <f t="shared" si="6"/>
        <v>0</v>
      </c>
      <c r="M28" s="376">
        <f t="shared" si="6"/>
        <v>0</v>
      </c>
      <c r="N28" s="376">
        <f t="shared" si="6"/>
        <v>0</v>
      </c>
      <c r="O28" s="376">
        <f t="shared" si="6"/>
        <v>0</v>
      </c>
      <c r="P28" s="89"/>
      <c r="Q28" s="89"/>
    </row>
    <row r="29" spans="1:10" s="73" customFormat="1" ht="21.75" customHeight="1">
      <c r="A29" s="1294"/>
      <c r="B29" s="1294"/>
      <c r="C29" s="83"/>
      <c r="D29" s="83"/>
      <c r="E29" s="83"/>
      <c r="I29" s="105"/>
      <c r="J29" s="105"/>
    </row>
    <row r="30" spans="1:10" s="73" customFormat="1" ht="21.75" customHeight="1">
      <c r="A30" s="1294"/>
      <c r="B30" s="1294"/>
      <c r="C30" s="83"/>
      <c r="D30" s="83"/>
      <c r="E30" s="83"/>
      <c r="F30" s="73" t="s">
        <v>3</v>
      </c>
      <c r="I30" s="1295"/>
      <c r="J30" s="1295"/>
    </row>
    <row r="31" spans="1:10" s="73" customFormat="1" ht="21.75" customHeight="1">
      <c r="A31" s="84"/>
      <c r="B31" s="85"/>
      <c r="C31" s="83"/>
      <c r="D31" s="83" t="s">
        <v>3</v>
      </c>
      <c r="E31" s="83"/>
      <c r="I31" s="1294"/>
      <c r="J31" s="1294"/>
    </row>
    <row r="32" s="73" customFormat="1" ht="19.5" customHeight="1">
      <c r="A32" s="86"/>
    </row>
    <row r="33" spans="1:13" ht="24" customHeight="1">
      <c r="A33" s="1297"/>
      <c r="B33" s="1297"/>
      <c r="C33" s="73"/>
      <c r="D33" s="73"/>
      <c r="E33" s="73"/>
      <c r="F33" s="73"/>
      <c r="G33" s="73"/>
      <c r="H33" s="73"/>
      <c r="I33" s="1297"/>
      <c r="J33" s="1297"/>
      <c r="K33" s="73"/>
      <c r="L33" s="73"/>
      <c r="M33" s="73"/>
    </row>
    <row r="34" spans="1:13" ht="17.25" customHeight="1">
      <c r="A34" s="1296"/>
      <c r="B34" s="1296"/>
      <c r="C34" s="73"/>
      <c r="D34" s="73"/>
      <c r="E34" s="73"/>
      <c r="F34" s="73"/>
      <c r="G34" s="73"/>
      <c r="H34" s="73"/>
      <c r="I34" s="1296"/>
      <c r="J34" s="1296"/>
      <c r="K34" s="73"/>
      <c r="L34" s="73"/>
      <c r="M34" s="73"/>
    </row>
    <row r="35" spans="1:13" ht="17.25" customHeight="1">
      <c r="A35" s="1296"/>
      <c r="B35" s="1296"/>
      <c r="C35" s="73"/>
      <c r="D35" s="73"/>
      <c r="E35" s="73"/>
      <c r="F35" s="73"/>
      <c r="G35" s="73"/>
      <c r="H35" s="73"/>
      <c r="I35" s="1296"/>
      <c r="J35" s="1296"/>
      <c r="K35" s="73"/>
      <c r="L35" s="73"/>
      <c r="M35" s="73"/>
    </row>
    <row r="36" spans="1:13" ht="17.25" customHeight="1">
      <c r="A36" s="1296"/>
      <c r="B36" s="1296"/>
      <c r="C36" s="73"/>
      <c r="D36" s="73"/>
      <c r="E36" s="73"/>
      <c r="F36" s="73"/>
      <c r="G36" s="73"/>
      <c r="H36" s="73"/>
      <c r="I36" s="1296"/>
      <c r="J36" s="1296"/>
      <c r="K36" s="73"/>
      <c r="L36" s="73"/>
      <c r="M36" s="73"/>
    </row>
    <row r="37" spans="1:13" ht="17.25" customHeight="1">
      <c r="A37" s="1296"/>
      <c r="B37" s="1296"/>
      <c r="C37" s="73"/>
      <c r="D37" s="73"/>
      <c r="E37" s="73"/>
      <c r="F37" s="73"/>
      <c r="G37" s="73"/>
      <c r="H37" s="73"/>
      <c r="I37" s="1296"/>
      <c r="J37" s="1296"/>
      <c r="K37" s="73"/>
      <c r="L37" s="73"/>
      <c r="M37" s="73"/>
    </row>
    <row r="38" spans="1:13" ht="15">
      <c r="A38" s="86"/>
      <c r="B38" s="73"/>
      <c r="C38" s="73"/>
      <c r="D38" s="73"/>
      <c r="E38" s="73"/>
      <c r="F38" s="73"/>
      <c r="G38" s="73"/>
      <c r="H38" s="73"/>
      <c r="I38" s="1296"/>
      <c r="J38" s="1296"/>
      <c r="K38" s="73"/>
      <c r="L38" s="73"/>
      <c r="M38" s="73"/>
    </row>
    <row r="39" spans="1:13" ht="15">
      <c r="A39" s="86"/>
      <c r="B39" s="73"/>
      <c r="C39" s="73"/>
      <c r="D39" s="73"/>
      <c r="E39" s="73"/>
      <c r="F39" s="73"/>
      <c r="G39" s="73"/>
      <c r="H39" s="73"/>
      <c r="I39" s="77"/>
      <c r="J39" s="77"/>
      <c r="K39" s="73"/>
      <c r="L39" s="73"/>
      <c r="M39" s="73"/>
    </row>
    <row r="40" spans="1:13" ht="17.25">
      <c r="A40" s="86"/>
      <c r="B40" s="1297"/>
      <c r="C40" s="1297"/>
      <c r="D40" s="1297"/>
      <c r="E40" s="1297"/>
      <c r="F40" s="1297"/>
      <c r="G40" s="87"/>
      <c r="H40" s="87"/>
      <c r="I40" s="73"/>
      <c r="J40" s="73"/>
      <c r="K40" s="73"/>
      <c r="L40" s="73"/>
      <c r="M40" s="73"/>
    </row>
    <row r="41" spans="1:13" ht="15.75">
      <c r="A41" s="86"/>
      <c r="B41" s="1296"/>
      <c r="C41" s="1296"/>
      <c r="D41" s="1296"/>
      <c r="E41" s="1296"/>
      <c r="F41" s="1296"/>
      <c r="G41" s="77"/>
      <c r="H41" s="77"/>
      <c r="I41" s="73"/>
      <c r="J41" s="73"/>
      <c r="K41" s="88"/>
      <c r="L41" s="88"/>
      <c r="M41" s="88"/>
    </row>
    <row r="42" spans="1:13" ht="15">
      <c r="A42" s="86"/>
      <c r="B42" s="1296"/>
      <c r="C42" s="1296"/>
      <c r="D42" s="1296"/>
      <c r="E42" s="1296"/>
      <c r="F42" s="1296"/>
      <c r="G42" s="77"/>
      <c r="H42" s="77"/>
      <c r="I42" s="73"/>
      <c r="J42" s="73"/>
      <c r="K42" s="73"/>
      <c r="L42" s="73"/>
      <c r="M42" s="73"/>
    </row>
    <row r="43" spans="1:13" ht="15">
      <c r="A43" s="86"/>
      <c r="B43" s="1296"/>
      <c r="C43" s="1296"/>
      <c r="D43" s="1296"/>
      <c r="E43" s="1296"/>
      <c r="F43" s="1296"/>
      <c r="G43" s="77"/>
      <c r="H43" s="77"/>
      <c r="I43" s="73"/>
      <c r="J43" s="73"/>
      <c r="K43" s="73"/>
      <c r="L43" s="73"/>
      <c r="M43" s="73"/>
    </row>
    <row r="44" spans="1:13" ht="15">
      <c r="A44" s="86"/>
      <c r="B44" s="1296"/>
      <c r="C44" s="1296"/>
      <c r="D44" s="1296"/>
      <c r="E44" s="1296"/>
      <c r="F44" s="1296"/>
      <c r="G44" s="77"/>
      <c r="H44" s="77"/>
      <c r="I44" s="73"/>
      <c r="J44" s="73"/>
      <c r="K44" s="73"/>
      <c r="L44" s="73"/>
      <c r="M44" s="73"/>
    </row>
    <row r="45" spans="1:13" ht="15">
      <c r="A45" s="86"/>
      <c r="B45" s="73"/>
      <c r="C45" s="73"/>
      <c r="D45" s="73"/>
      <c r="E45" s="73"/>
      <c r="F45" s="73"/>
      <c r="G45" s="73"/>
      <c r="H45" s="73"/>
      <c r="I45" s="73"/>
      <c r="J45" s="73"/>
      <c r="K45" s="73"/>
      <c r="L45" s="73"/>
      <c r="M45" s="73"/>
    </row>
    <row r="46" spans="1:13" ht="15.75">
      <c r="A46" s="86"/>
      <c r="B46" s="89"/>
      <c r="C46" s="73"/>
      <c r="D46" s="73"/>
      <c r="E46" s="73"/>
      <c r="F46" s="73"/>
      <c r="G46" s="73"/>
      <c r="H46" s="73"/>
      <c r="I46" s="73"/>
      <c r="J46" s="73"/>
      <c r="K46" s="73"/>
      <c r="L46" s="73"/>
      <c r="M46" s="73"/>
    </row>
    <row r="47" spans="1:13" ht="15">
      <c r="A47" s="86"/>
      <c r="B47" s="73"/>
      <c r="C47" s="73"/>
      <c r="D47" s="73"/>
      <c r="E47" s="73"/>
      <c r="F47" s="73"/>
      <c r="G47" s="73"/>
      <c r="H47" s="73"/>
      <c r="I47" s="73"/>
      <c r="J47" s="73"/>
      <c r="K47" s="73"/>
      <c r="L47" s="73"/>
      <c r="M47" s="73"/>
    </row>
    <row r="48" spans="1:13" ht="15">
      <c r="A48" s="86"/>
      <c r="B48" s="73"/>
      <c r="C48" s="73"/>
      <c r="D48" s="73"/>
      <c r="E48" s="73"/>
      <c r="F48" s="73"/>
      <c r="G48" s="73"/>
      <c r="H48" s="73"/>
      <c r="I48" s="73"/>
      <c r="J48" s="73"/>
      <c r="K48" s="73"/>
      <c r="L48" s="73"/>
      <c r="M48" s="73"/>
    </row>
    <row r="49" spans="1:13" ht="15">
      <c r="A49" s="86"/>
      <c r="B49" s="73"/>
      <c r="C49" s="73"/>
      <c r="D49" s="73"/>
      <c r="E49" s="73"/>
      <c r="F49" s="73"/>
      <c r="G49" s="73"/>
      <c r="H49" s="73"/>
      <c r="I49" s="73"/>
      <c r="J49" s="73"/>
      <c r="K49" s="73"/>
      <c r="L49" s="73"/>
      <c r="M49" s="73"/>
    </row>
    <row r="50" spans="1:13" ht="15">
      <c r="A50" s="86"/>
      <c r="B50" s="73"/>
      <c r="C50" s="73"/>
      <c r="D50" s="73"/>
      <c r="E50" s="73"/>
      <c r="F50" s="73"/>
      <c r="G50" s="73"/>
      <c r="H50" s="73"/>
      <c r="I50" s="73"/>
      <c r="J50" s="73"/>
      <c r="K50" s="73"/>
      <c r="L50" s="73"/>
      <c r="M50" s="73"/>
    </row>
    <row r="51" spans="1:13" ht="15">
      <c r="A51" s="86"/>
      <c r="B51" s="73"/>
      <c r="C51" s="73"/>
      <c r="D51" s="73"/>
      <c r="E51" s="73"/>
      <c r="F51" s="73"/>
      <c r="G51" s="73"/>
      <c r="H51" s="73"/>
      <c r="I51" s="73"/>
      <c r="J51" s="73"/>
      <c r="K51" s="73"/>
      <c r="L51" s="73"/>
      <c r="M51" s="73"/>
    </row>
    <row r="52" spans="1:13" ht="15">
      <c r="A52" s="86"/>
      <c r="B52" s="73"/>
      <c r="C52" s="73"/>
      <c r="D52" s="73"/>
      <c r="E52" s="73"/>
      <c r="F52" s="73"/>
      <c r="G52" s="73"/>
      <c r="H52" s="73"/>
      <c r="I52" s="73"/>
      <c r="J52" s="73"/>
      <c r="K52" s="73"/>
      <c r="L52" s="73"/>
      <c r="M52" s="73"/>
    </row>
    <row r="53" spans="1:13" ht="15">
      <c r="A53" s="86"/>
      <c r="B53" s="73"/>
      <c r="C53" s="73"/>
      <c r="D53" s="73"/>
      <c r="E53" s="73"/>
      <c r="F53" s="73"/>
      <c r="G53" s="73"/>
      <c r="H53" s="73"/>
      <c r="I53" s="73"/>
      <c r="J53" s="73"/>
      <c r="K53" s="73"/>
      <c r="L53" s="73"/>
      <c r="M53" s="73"/>
    </row>
    <row r="54" spans="1:13" ht="15">
      <c r="A54" s="86"/>
      <c r="B54" s="73"/>
      <c r="C54" s="73"/>
      <c r="D54" s="73"/>
      <c r="E54" s="73"/>
      <c r="F54" s="73"/>
      <c r="G54" s="73"/>
      <c r="H54" s="73"/>
      <c r="I54" s="73"/>
      <c r="J54" s="73"/>
      <c r="K54" s="73"/>
      <c r="L54" s="73"/>
      <c r="M54" s="73"/>
    </row>
    <row r="55" spans="1:13" ht="15">
      <c r="A55" s="86"/>
      <c r="B55" s="73"/>
      <c r="C55" s="73"/>
      <c r="D55" s="73"/>
      <c r="E55" s="73"/>
      <c r="F55" s="73"/>
      <c r="G55" s="73"/>
      <c r="H55" s="73"/>
      <c r="I55" s="73"/>
      <c r="J55" s="73"/>
      <c r="K55" s="73"/>
      <c r="L55" s="73"/>
      <c r="M55" s="73"/>
    </row>
    <row r="56" spans="1:13" ht="15">
      <c r="A56" s="86"/>
      <c r="B56" s="73"/>
      <c r="C56" s="73"/>
      <c r="D56" s="73"/>
      <c r="E56" s="73"/>
      <c r="F56" s="73"/>
      <c r="G56" s="73"/>
      <c r="H56" s="73"/>
      <c r="I56" s="73"/>
      <c r="J56" s="73"/>
      <c r="K56" s="73"/>
      <c r="L56" s="73"/>
      <c r="M56" s="73"/>
    </row>
    <row r="57" spans="1:13" ht="15">
      <c r="A57" s="86"/>
      <c r="B57" s="73"/>
      <c r="C57" s="73"/>
      <c r="D57" s="73"/>
      <c r="E57" s="73"/>
      <c r="F57" s="73"/>
      <c r="G57" s="73"/>
      <c r="H57" s="73"/>
      <c r="I57" s="73"/>
      <c r="J57" s="73"/>
      <c r="K57" s="73"/>
      <c r="L57" s="73"/>
      <c r="M57" s="73"/>
    </row>
    <row r="58" spans="1:13" ht="15">
      <c r="A58" s="86"/>
      <c r="B58" s="73"/>
      <c r="C58" s="73"/>
      <c r="D58" s="73"/>
      <c r="E58" s="73"/>
      <c r="F58" s="73"/>
      <c r="G58" s="73"/>
      <c r="H58" s="73"/>
      <c r="I58" s="73"/>
      <c r="J58" s="73"/>
      <c r="K58" s="73"/>
      <c r="L58" s="73"/>
      <c r="M58" s="73"/>
    </row>
    <row r="59" spans="1:13" ht="15">
      <c r="A59" s="86"/>
      <c r="B59" s="73"/>
      <c r="C59" s="73"/>
      <c r="D59" s="73"/>
      <c r="E59" s="73"/>
      <c r="F59" s="73"/>
      <c r="G59" s="73"/>
      <c r="H59" s="73"/>
      <c r="I59" s="73"/>
      <c r="J59" s="73"/>
      <c r="K59" s="73"/>
      <c r="L59" s="73"/>
      <c r="M59" s="73"/>
    </row>
    <row r="60" spans="1:13" ht="15">
      <c r="A60" s="86"/>
      <c r="B60" s="73"/>
      <c r="C60" s="73"/>
      <c r="D60" s="73"/>
      <c r="E60" s="73"/>
      <c r="F60" s="73"/>
      <c r="G60" s="73"/>
      <c r="H60" s="73"/>
      <c r="I60" s="73"/>
      <c r="J60" s="73"/>
      <c r="K60" s="73"/>
      <c r="L60" s="73"/>
      <c r="M60" s="73"/>
    </row>
    <row r="61" spans="1:13" ht="15">
      <c r="A61" s="86"/>
      <c r="B61" s="73"/>
      <c r="C61" s="73"/>
      <c r="D61" s="73"/>
      <c r="E61" s="73"/>
      <c r="F61" s="73"/>
      <c r="G61" s="73"/>
      <c r="H61" s="73"/>
      <c r="I61" s="73"/>
      <c r="J61" s="73"/>
      <c r="K61" s="73"/>
      <c r="L61" s="73"/>
      <c r="M61" s="73"/>
    </row>
    <row r="62" spans="1:13" ht="15">
      <c r="A62" s="86"/>
      <c r="B62" s="73"/>
      <c r="C62" s="73"/>
      <c r="D62" s="73"/>
      <c r="E62" s="73"/>
      <c r="F62" s="73"/>
      <c r="G62" s="73"/>
      <c r="H62" s="73"/>
      <c r="I62" s="73"/>
      <c r="J62" s="73"/>
      <c r="K62" s="73"/>
      <c r="L62" s="73"/>
      <c r="M62" s="73"/>
    </row>
  </sheetData>
  <sheetProtection/>
  <mergeCells count="50">
    <mergeCell ref="L3:O3"/>
    <mergeCell ref="L1:O1"/>
    <mergeCell ref="L2:O2"/>
    <mergeCell ref="L4:O4"/>
    <mergeCell ref="N27:O27"/>
    <mergeCell ref="B43:F43"/>
    <mergeCell ref="B44:F44"/>
    <mergeCell ref="A37:B37"/>
    <mergeCell ref="I37:J37"/>
    <mergeCell ref="I38:J38"/>
    <mergeCell ref="B40:F40"/>
    <mergeCell ref="B41:F41"/>
    <mergeCell ref="B42:F42"/>
    <mergeCell ref="A35:B35"/>
    <mergeCell ref="I35:J35"/>
    <mergeCell ref="A36:B36"/>
    <mergeCell ref="I36:J36"/>
    <mergeCell ref="A33:B33"/>
    <mergeCell ref="I33:J33"/>
    <mergeCell ref="A34:B34"/>
    <mergeCell ref="I34:J34"/>
    <mergeCell ref="A29:B29"/>
    <mergeCell ref="A30:B30"/>
    <mergeCell ref="I30:J30"/>
    <mergeCell ref="I31:J31"/>
    <mergeCell ref="P8:Q8"/>
    <mergeCell ref="A10:B10"/>
    <mergeCell ref="C6:C9"/>
    <mergeCell ref="D6:O6"/>
    <mergeCell ref="D7:D9"/>
    <mergeCell ref="E7:G7"/>
    <mergeCell ref="J7:J9"/>
    <mergeCell ref="K7:K9"/>
    <mergeCell ref="L7:L9"/>
    <mergeCell ref="A6:B9"/>
    <mergeCell ref="O7:O9"/>
    <mergeCell ref="E8:E9"/>
    <mergeCell ref="F8:G8"/>
    <mergeCell ref="D1:K1"/>
    <mergeCell ref="N7:N9"/>
    <mergeCell ref="H7:H9"/>
    <mergeCell ref="I7:I9"/>
    <mergeCell ref="M7:M9"/>
    <mergeCell ref="D4:K4"/>
    <mergeCell ref="L5:O5"/>
    <mergeCell ref="A3:B3"/>
    <mergeCell ref="A2:C2"/>
    <mergeCell ref="A1:B1"/>
    <mergeCell ref="D2:K2"/>
    <mergeCell ref="D3:K3"/>
  </mergeCells>
  <printOptions/>
  <pageMargins left="0.2" right="0" top="0.25" bottom="0"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9"/>
  <sheetViews>
    <sheetView workbookViewId="0" topLeftCell="A1">
      <selection activeCell="B11" sqref="B11"/>
    </sheetView>
  </sheetViews>
  <sheetFormatPr defaultColWidth="9.00390625" defaultRowHeight="15.75"/>
  <cols>
    <col min="1" max="1" width="26.25390625" style="0" customWidth="1"/>
    <col min="2" max="2" width="68.00390625" style="0" customWidth="1"/>
  </cols>
  <sheetData>
    <row r="1" spans="1:2" ht="50.25" customHeight="1">
      <c r="A1" s="807" t="s">
        <v>569</v>
      </c>
      <c r="B1" s="807"/>
    </row>
    <row r="2" spans="1:2" ht="20.25" customHeight="1">
      <c r="A2" s="498" t="s">
        <v>570</v>
      </c>
      <c r="B2" s="499" t="s">
        <v>571</v>
      </c>
    </row>
    <row r="3" spans="1:2" ht="15.75">
      <c r="A3" s="498" t="s">
        <v>572</v>
      </c>
      <c r="B3" s="500" t="s">
        <v>347</v>
      </c>
    </row>
    <row r="4" spans="1:2" ht="15.75">
      <c r="A4" s="498" t="s">
        <v>573</v>
      </c>
      <c r="B4" s="501" t="s">
        <v>352</v>
      </c>
    </row>
    <row r="5" spans="1:2" ht="15.75">
      <c r="A5" s="498" t="s">
        <v>574</v>
      </c>
      <c r="B5" s="501" t="s">
        <v>364</v>
      </c>
    </row>
    <row r="6" spans="1:2" ht="38.25" customHeight="1">
      <c r="A6" s="523" t="s">
        <v>575</v>
      </c>
      <c r="B6" s="505" t="s">
        <v>578</v>
      </c>
    </row>
    <row r="7" spans="1:2" ht="21" customHeight="1">
      <c r="A7" s="502" t="s">
        <v>576</v>
      </c>
      <c r="B7" s="503" t="s">
        <v>590</v>
      </c>
    </row>
    <row r="8" spans="1:2" ht="15.75">
      <c r="A8" s="504"/>
      <c r="B8" s="504"/>
    </row>
    <row r="9" spans="1:2" ht="78.75" customHeight="1">
      <c r="A9" s="808" t="s">
        <v>577</v>
      </c>
      <c r="B9" s="808"/>
    </row>
  </sheetData>
  <mergeCells count="2">
    <mergeCell ref="A1:B1"/>
    <mergeCell ref="A9:B9"/>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11"/>
  </sheetPr>
  <dimension ref="A1:D40"/>
  <sheetViews>
    <sheetView zoomScale="90" zoomScaleNormal="90" zoomScalePageLayoutView="0" workbookViewId="0" topLeftCell="A16">
      <selection activeCell="C7" sqref="C7"/>
    </sheetView>
  </sheetViews>
  <sheetFormatPr defaultColWidth="9.00390625" defaultRowHeight="15.75"/>
  <cols>
    <col min="1" max="1" width="4.25390625" style="96" customWidth="1"/>
    <col min="2" max="2" width="74.375" style="96" customWidth="1"/>
    <col min="3" max="3" width="51.625" style="96" customWidth="1"/>
    <col min="4" max="4" width="11.25390625" style="96" customWidth="1"/>
    <col min="5" max="16384" width="9.00390625" style="96" customWidth="1"/>
  </cols>
  <sheetData>
    <row r="1" spans="1:3" s="74" customFormat="1" ht="36" customHeight="1">
      <c r="A1" s="1203" t="s">
        <v>174</v>
      </c>
      <c r="B1" s="1265"/>
      <c r="C1" s="1265"/>
    </row>
    <row r="2" spans="1:3" ht="21.75" customHeight="1">
      <c r="A2" s="1301" t="s">
        <v>59</v>
      </c>
      <c r="B2" s="1302"/>
      <c r="C2" s="90" t="s">
        <v>342</v>
      </c>
    </row>
    <row r="3" spans="1:3" ht="12.75" customHeight="1">
      <c r="A3" s="1261" t="s">
        <v>5</v>
      </c>
      <c r="B3" s="1262"/>
      <c r="C3" s="91">
        <v>1</v>
      </c>
    </row>
    <row r="4" spans="1:4" ht="18" customHeight="1">
      <c r="A4" s="223" t="s">
        <v>37</v>
      </c>
      <c r="B4" s="224" t="s">
        <v>255</v>
      </c>
      <c r="C4" s="229">
        <f>3!C22</f>
        <v>207566</v>
      </c>
      <c r="D4" s="226">
        <f>C5+C6+C7+C8+C9+C10-C4</f>
        <v>0</v>
      </c>
    </row>
    <row r="5" spans="1:4" s="92" customFormat="1" ht="15.75" customHeight="1">
      <c r="A5" s="94" t="s">
        <v>39</v>
      </c>
      <c r="B5" s="97" t="s">
        <v>122</v>
      </c>
      <c r="C5" s="227">
        <v>95324</v>
      </c>
      <c r="D5" s="228"/>
    </row>
    <row r="6" spans="1:4" s="92" customFormat="1" ht="15.75" customHeight="1">
      <c r="A6" s="94" t="s">
        <v>40</v>
      </c>
      <c r="B6" s="97" t="s">
        <v>123</v>
      </c>
      <c r="C6" s="227">
        <v>112242</v>
      </c>
      <c r="D6" s="228"/>
    </row>
    <row r="7" spans="1:4" s="92" customFormat="1" ht="16.5" customHeight="1">
      <c r="A7" s="94" t="s">
        <v>110</v>
      </c>
      <c r="B7" s="97" t="s">
        <v>124</v>
      </c>
      <c r="C7" s="227">
        <v>0</v>
      </c>
      <c r="D7" s="228"/>
    </row>
    <row r="8" spans="1:4" s="92" customFormat="1" ht="14.25" customHeight="1">
      <c r="A8" s="94" t="s">
        <v>112</v>
      </c>
      <c r="B8" s="97" t="s">
        <v>125</v>
      </c>
      <c r="C8" s="227">
        <v>0</v>
      </c>
      <c r="D8" s="228"/>
    </row>
    <row r="9" spans="1:4" s="92" customFormat="1" ht="15" customHeight="1">
      <c r="A9" s="94" t="s">
        <v>114</v>
      </c>
      <c r="B9" s="97" t="s">
        <v>126</v>
      </c>
      <c r="C9" s="227">
        <v>0</v>
      </c>
      <c r="D9" s="228"/>
    </row>
    <row r="10" spans="1:4" s="92" customFormat="1" ht="16.5" customHeight="1">
      <c r="A10" s="94" t="s">
        <v>116</v>
      </c>
      <c r="B10" s="97" t="s">
        <v>127</v>
      </c>
      <c r="C10" s="227">
        <v>0</v>
      </c>
      <c r="D10" s="228"/>
    </row>
    <row r="11" spans="1:4" s="93" customFormat="1" ht="14.25" customHeight="1">
      <c r="A11" s="223" t="s">
        <v>38</v>
      </c>
      <c r="B11" s="224" t="s">
        <v>251</v>
      </c>
      <c r="C11" s="229">
        <f>3!C23</f>
        <v>713342</v>
      </c>
      <c r="D11" s="230">
        <f>C12+C13-C11</f>
        <v>0</v>
      </c>
    </row>
    <row r="12" spans="1:4" s="92" customFormat="1" ht="18" customHeight="1">
      <c r="A12" s="94" t="s">
        <v>41</v>
      </c>
      <c r="B12" s="97" t="s">
        <v>128</v>
      </c>
      <c r="C12" s="227">
        <v>695905</v>
      </c>
      <c r="D12" s="228"/>
    </row>
    <row r="13" spans="1:4" ht="18" customHeight="1">
      <c r="A13" s="94" t="s">
        <v>42</v>
      </c>
      <c r="B13" s="97" t="s">
        <v>129</v>
      </c>
      <c r="C13" s="227">
        <v>17437</v>
      </c>
      <c r="D13" s="226"/>
    </row>
    <row r="14" spans="1:4" ht="15.75" customHeight="1">
      <c r="A14" s="223" t="s">
        <v>43</v>
      </c>
      <c r="B14" s="225" t="s">
        <v>119</v>
      </c>
      <c r="C14" s="229">
        <f>3!C25</f>
        <v>1860714</v>
      </c>
      <c r="D14" s="226">
        <f>C15+C16+C17-C14</f>
        <v>0</v>
      </c>
    </row>
    <row r="15" spans="1:4" ht="15.75" customHeight="1">
      <c r="A15" s="94" t="s">
        <v>130</v>
      </c>
      <c r="B15" s="97" t="s">
        <v>157</v>
      </c>
      <c r="C15" s="227">
        <v>187609</v>
      </c>
      <c r="D15" s="226"/>
    </row>
    <row r="16" spans="1:4" s="92" customFormat="1" ht="15.75" customHeight="1">
      <c r="A16" s="94" t="s">
        <v>132</v>
      </c>
      <c r="B16" s="97" t="s">
        <v>133</v>
      </c>
      <c r="C16" s="227">
        <f>251529+790070+0</f>
        <v>1041599</v>
      </c>
      <c r="D16" s="228"/>
    </row>
    <row r="17" spans="1:4" s="92" customFormat="1" ht="15.75" customHeight="1">
      <c r="A17" s="94" t="s">
        <v>134</v>
      </c>
      <c r="B17" s="60" t="s">
        <v>135</v>
      </c>
      <c r="C17" s="227">
        <v>631506</v>
      </c>
      <c r="D17" s="228"/>
    </row>
    <row r="18" spans="1:4" s="92" customFormat="1" ht="16.5" customHeight="1">
      <c r="A18" s="223" t="s">
        <v>62</v>
      </c>
      <c r="B18" s="224" t="s">
        <v>252</v>
      </c>
      <c r="C18" s="229">
        <f>3!C19</f>
        <v>93673</v>
      </c>
      <c r="D18" s="228">
        <f>C19+C20+C21+C22+C23+C24-C18</f>
        <v>0</v>
      </c>
    </row>
    <row r="19" spans="1:4" s="92" customFormat="1" ht="19.5" customHeight="1">
      <c r="A19" s="94" t="s">
        <v>136</v>
      </c>
      <c r="B19" s="97" t="s">
        <v>137</v>
      </c>
      <c r="C19" s="227">
        <v>0</v>
      </c>
      <c r="D19" s="228"/>
    </row>
    <row r="20" spans="1:4" s="92" customFormat="1" ht="18" customHeight="1">
      <c r="A20" s="94" t="s">
        <v>138</v>
      </c>
      <c r="B20" s="97" t="s">
        <v>139</v>
      </c>
      <c r="C20" s="227">
        <v>0</v>
      </c>
      <c r="D20" s="228"/>
    </row>
    <row r="21" spans="1:4" s="92" customFormat="1" ht="18.75" customHeight="1">
      <c r="A21" s="94" t="s">
        <v>140</v>
      </c>
      <c r="B21" s="97" t="s">
        <v>141</v>
      </c>
      <c r="C21" s="227">
        <v>10759</v>
      </c>
      <c r="D21" s="228"/>
    </row>
    <row r="22" spans="1:4" s="92" customFormat="1" ht="16.5" customHeight="1">
      <c r="A22" s="94" t="s">
        <v>142</v>
      </c>
      <c r="B22" s="97" t="s">
        <v>125</v>
      </c>
      <c r="C22" s="227">
        <v>0</v>
      </c>
      <c r="D22" s="228"/>
    </row>
    <row r="23" spans="1:4" s="92" customFormat="1" ht="15.75" customHeight="1">
      <c r="A23" s="94" t="s">
        <v>143</v>
      </c>
      <c r="B23" s="97" t="s">
        <v>173</v>
      </c>
      <c r="C23" s="227">
        <v>82914</v>
      </c>
      <c r="D23" s="228"/>
    </row>
    <row r="24" spans="1:4" s="92" customFormat="1" ht="15.75" customHeight="1">
      <c r="A24" s="94" t="s">
        <v>144</v>
      </c>
      <c r="B24" s="97" t="s">
        <v>145</v>
      </c>
      <c r="C24" s="227">
        <v>0</v>
      </c>
      <c r="D24" s="228"/>
    </row>
    <row r="25" spans="1:4" s="92" customFormat="1" ht="14.25" customHeight="1">
      <c r="A25" s="223" t="s">
        <v>63</v>
      </c>
      <c r="B25" s="224" t="s">
        <v>254</v>
      </c>
      <c r="C25" s="229">
        <f>3!C26</f>
        <v>9232965</v>
      </c>
      <c r="D25" s="228">
        <f>C26+C27+C28-C25</f>
        <v>0</v>
      </c>
    </row>
    <row r="26" spans="1:4" s="92" customFormat="1" ht="15.75" customHeight="1">
      <c r="A26" s="94" t="s">
        <v>146</v>
      </c>
      <c r="B26" s="97" t="s">
        <v>137</v>
      </c>
      <c r="C26" s="227">
        <f>150222+331119+1340141+516942+285481+394901+228333+898467+1131726+2150031+861884+0+283334</f>
        <v>8572581</v>
      </c>
      <c r="D26" s="228"/>
    </row>
    <row r="27" spans="1:4" ht="15.75" customHeight="1">
      <c r="A27" s="94" t="s">
        <v>147</v>
      </c>
      <c r="B27" s="97" t="s">
        <v>139</v>
      </c>
      <c r="C27" s="227">
        <v>500</v>
      </c>
      <c r="D27" s="226"/>
    </row>
    <row r="28" spans="1:4" s="92" customFormat="1" ht="16.5" customHeight="1" thickBot="1">
      <c r="A28" s="316" t="s">
        <v>148</v>
      </c>
      <c r="B28" s="317" t="s">
        <v>149</v>
      </c>
      <c r="C28" s="318">
        <v>659884</v>
      </c>
      <c r="D28" s="228"/>
    </row>
    <row r="29" spans="1:3" ht="21" customHeight="1" thickTop="1">
      <c r="A29" s="519"/>
      <c r="B29" s="784" t="str">
        <f>'Thông tin'!B7</f>
        <v>Bình Thuận, ngày 06 tháng 4 năm 2016</v>
      </c>
      <c r="C29" s="783" t="str">
        <f>'Thông tin'!B7</f>
        <v>Bình Thuận, ngày 06 tháng 4 năm 2016</v>
      </c>
    </row>
    <row r="30" spans="1:3" ht="15.75" customHeight="1">
      <c r="A30" s="518"/>
      <c r="B30" s="521" t="s">
        <v>356</v>
      </c>
      <c r="C30" s="518" t="s">
        <v>355</v>
      </c>
    </row>
    <row r="31" spans="1:4" s="100" customFormat="1" ht="18" customHeight="1">
      <c r="A31" s="518"/>
      <c r="B31" s="521"/>
      <c r="C31" s="518" t="s">
        <v>354</v>
      </c>
      <c r="D31" s="101"/>
    </row>
    <row r="32" spans="1:4" s="100" customFormat="1" ht="16.5">
      <c r="A32" s="518"/>
      <c r="B32" s="521"/>
      <c r="C32" s="518"/>
      <c r="D32" s="101"/>
    </row>
    <row r="33" spans="1:3" ht="18.75" customHeight="1">
      <c r="A33" s="518"/>
      <c r="B33" s="521"/>
      <c r="C33" s="518"/>
    </row>
    <row r="34" spans="1:3" ht="15.75" customHeight="1">
      <c r="A34" s="1266" t="s">
        <v>357</v>
      </c>
      <c r="B34" s="1266"/>
      <c r="C34" s="496" t="s">
        <v>364</v>
      </c>
    </row>
    <row r="35" spans="2:3" ht="15.75" customHeight="1">
      <c r="B35" s="95"/>
      <c r="C35" s="92"/>
    </row>
    <row r="36" spans="1:3" ht="15.75" hidden="1">
      <c r="A36" s="102" t="s">
        <v>33</v>
      </c>
      <c r="B36" s="103"/>
      <c r="C36" s="103"/>
    </row>
    <row r="37" ht="15.75" hidden="1">
      <c r="B37" s="96" t="s">
        <v>35</v>
      </c>
    </row>
    <row r="38" ht="15.75" hidden="1">
      <c r="B38" s="96" t="s">
        <v>53</v>
      </c>
    </row>
    <row r="39" ht="15.75" hidden="1">
      <c r="B39" s="96" t="s">
        <v>50</v>
      </c>
    </row>
    <row r="40" ht="15.75" hidden="1">
      <c r="B40" s="96" t="s">
        <v>54</v>
      </c>
    </row>
  </sheetData>
  <sheetProtection/>
  <mergeCells count="4">
    <mergeCell ref="A1:C1"/>
    <mergeCell ref="A2:B2"/>
    <mergeCell ref="A3:B3"/>
    <mergeCell ref="A34:B34"/>
  </mergeCells>
  <printOptions/>
  <pageMargins left="0.5" right="0.25" top="0.2" bottom="0.25" header="0.5" footer="0.5"/>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PageLayoutView="0" workbookViewId="0" topLeftCell="A1">
      <selection activeCell="G15" sqref="G15"/>
    </sheetView>
  </sheetViews>
  <sheetFormatPr defaultColWidth="9.00390625" defaultRowHeight="15.75"/>
  <cols>
    <col min="1" max="1" width="3.375" style="74" customWidth="1"/>
    <col min="2" max="2" width="20.00390625" style="71" customWidth="1"/>
    <col min="3" max="3" width="11.25390625" style="71" customWidth="1"/>
    <col min="4" max="4" width="11.125" style="71" customWidth="1"/>
    <col min="5" max="5" width="10.875" style="71" customWidth="1"/>
    <col min="6" max="6" width="8.375" style="71" customWidth="1"/>
    <col min="7" max="7" width="11.00390625" style="71" customWidth="1"/>
    <col min="8" max="8" width="8.25390625" style="71" customWidth="1"/>
    <col min="9" max="9" width="10.25390625" style="71" customWidth="1"/>
    <col min="10" max="10" width="10.00390625" style="71" customWidth="1"/>
    <col min="11" max="11" width="6.875" style="71" customWidth="1"/>
    <col min="12" max="12" width="8.25390625" style="71" customWidth="1"/>
    <col min="13" max="13" width="6.625" style="71" customWidth="1"/>
    <col min="14" max="14" width="7.50390625" style="71" customWidth="1"/>
    <col min="15" max="16384" width="9.00390625" style="71" customWidth="1"/>
  </cols>
  <sheetData>
    <row r="1" spans="1:16" ht="23.25" customHeight="1">
      <c r="A1" s="1303" t="s">
        <v>21</v>
      </c>
      <c r="B1" s="1303"/>
      <c r="C1" s="274"/>
      <c r="D1" s="843" t="s">
        <v>163</v>
      </c>
      <c r="E1" s="843"/>
      <c r="F1" s="843"/>
      <c r="G1" s="843"/>
      <c r="H1" s="843"/>
      <c r="I1" s="843"/>
      <c r="J1" s="843"/>
      <c r="K1" s="1308" t="s">
        <v>340</v>
      </c>
      <c r="L1" s="1308"/>
      <c r="M1" s="1308"/>
      <c r="N1" s="1308"/>
      <c r="O1" s="82"/>
      <c r="P1" s="82"/>
    </row>
    <row r="2" spans="1:16" ht="16.5" customHeight="1">
      <c r="A2" s="1242" t="s">
        <v>247</v>
      </c>
      <c r="B2" s="1242"/>
      <c r="C2" s="1242"/>
      <c r="D2" s="843" t="s">
        <v>87</v>
      </c>
      <c r="E2" s="843"/>
      <c r="F2" s="843"/>
      <c r="G2" s="843"/>
      <c r="H2" s="843"/>
      <c r="I2" s="843"/>
      <c r="J2" s="843"/>
      <c r="K2" s="1087" t="str">
        <f>'Thông tin'!B3</f>
        <v>Cục THADS tỉnh Bình Thuận</v>
      </c>
      <c r="L2" s="1087"/>
      <c r="M2" s="1087"/>
      <c r="N2" s="1087"/>
      <c r="O2" s="82"/>
      <c r="P2" s="155"/>
    </row>
    <row r="3" spans="1:16" ht="16.5" customHeight="1">
      <c r="A3" s="1242" t="s">
        <v>248</v>
      </c>
      <c r="B3" s="1242"/>
      <c r="C3" s="275"/>
      <c r="D3" s="843" t="str">
        <f>'Thông tin'!B2</f>
        <v>6 tháng / năm 2016</v>
      </c>
      <c r="E3" s="843"/>
      <c r="F3" s="843"/>
      <c r="G3" s="843"/>
      <c r="H3" s="843"/>
      <c r="I3" s="843"/>
      <c r="J3" s="843"/>
      <c r="K3" s="1308" t="s">
        <v>341</v>
      </c>
      <c r="L3" s="1308"/>
      <c r="M3" s="1308"/>
      <c r="N3" s="1308"/>
      <c r="O3" s="82"/>
      <c r="P3" s="89"/>
    </row>
    <row r="4" spans="1:16" ht="16.5" customHeight="1">
      <c r="A4" s="281" t="s">
        <v>349</v>
      </c>
      <c r="B4" s="275"/>
      <c r="C4" s="276"/>
      <c r="D4" s="1003" t="s">
        <v>363</v>
      </c>
      <c r="E4" s="1003"/>
      <c r="F4" s="1003"/>
      <c r="G4" s="1003"/>
      <c r="H4" s="1003"/>
      <c r="I4" s="1003"/>
      <c r="J4" s="1003"/>
      <c r="K4" s="1087" t="s">
        <v>348</v>
      </c>
      <c r="L4" s="1087"/>
      <c r="M4" s="1087"/>
      <c r="N4" s="1087"/>
      <c r="O4" s="82"/>
      <c r="P4" s="89"/>
    </row>
    <row r="5" spans="1:16" ht="16.5" customHeight="1">
      <c r="A5" s="131"/>
      <c r="B5" s="276"/>
      <c r="C5" s="277"/>
      <c r="D5" s="276"/>
      <c r="E5" s="276"/>
      <c r="F5" s="278"/>
      <c r="G5" s="279"/>
      <c r="H5" s="279"/>
      <c r="I5" s="279"/>
      <c r="J5" s="278"/>
      <c r="K5" s="1307" t="s">
        <v>164</v>
      </c>
      <c r="L5" s="1307"/>
      <c r="M5" s="1307"/>
      <c r="N5" s="1307"/>
      <c r="O5" s="82"/>
      <c r="P5" s="89"/>
    </row>
    <row r="6" spans="1:16" ht="18.75" customHeight="1">
      <c r="A6" s="1288" t="s">
        <v>58</v>
      </c>
      <c r="B6" s="1289"/>
      <c r="C6" s="1279" t="s">
        <v>27</v>
      </c>
      <c r="D6" s="1278" t="s">
        <v>239</v>
      </c>
      <c r="E6" s="1280"/>
      <c r="F6" s="1280"/>
      <c r="G6" s="1280"/>
      <c r="H6" s="1280"/>
      <c r="I6" s="1280"/>
      <c r="J6" s="1280"/>
      <c r="K6" s="1280"/>
      <c r="L6" s="1280"/>
      <c r="M6" s="1280"/>
      <c r="N6" s="1281"/>
      <c r="O6" s="82"/>
      <c r="P6" s="89"/>
    </row>
    <row r="7" spans="1:16" ht="27" customHeight="1">
      <c r="A7" s="1290"/>
      <c r="B7" s="1291"/>
      <c r="C7" s="1279"/>
      <c r="D7" s="1268" t="s">
        <v>165</v>
      </c>
      <c r="E7" s="1285" t="s">
        <v>166</v>
      </c>
      <c r="F7" s="1286"/>
      <c r="G7" s="1287"/>
      <c r="H7" s="1268" t="s">
        <v>167</v>
      </c>
      <c r="I7" s="1268" t="s">
        <v>92</v>
      </c>
      <c r="J7" s="1268" t="s">
        <v>168</v>
      </c>
      <c r="K7" s="1268" t="s">
        <v>94</v>
      </c>
      <c r="L7" s="1268" t="s">
        <v>95</v>
      </c>
      <c r="M7" s="1268" t="s">
        <v>96</v>
      </c>
      <c r="N7" s="1306" t="s">
        <v>97</v>
      </c>
      <c r="O7" s="89"/>
      <c r="P7" s="89"/>
    </row>
    <row r="8" spans="1:16" ht="18" customHeight="1">
      <c r="A8" s="1290"/>
      <c r="B8" s="1291"/>
      <c r="C8" s="1279"/>
      <c r="D8" s="1268"/>
      <c r="E8" s="1270" t="s">
        <v>26</v>
      </c>
      <c r="F8" s="1272" t="s">
        <v>6</v>
      </c>
      <c r="G8" s="1273"/>
      <c r="H8" s="1268"/>
      <c r="I8" s="1268"/>
      <c r="J8" s="1268"/>
      <c r="K8" s="1268"/>
      <c r="L8" s="1268"/>
      <c r="M8" s="1268"/>
      <c r="N8" s="1306"/>
      <c r="O8" s="1275"/>
      <c r="P8" s="1275"/>
    </row>
    <row r="9" spans="1:16" ht="26.25" customHeight="1">
      <c r="A9" s="1292"/>
      <c r="B9" s="1293"/>
      <c r="C9" s="1279"/>
      <c r="D9" s="1269"/>
      <c r="E9" s="1271"/>
      <c r="F9" s="235" t="s">
        <v>169</v>
      </c>
      <c r="G9" s="236" t="s">
        <v>170</v>
      </c>
      <c r="H9" s="1269"/>
      <c r="I9" s="1269"/>
      <c r="J9" s="1269"/>
      <c r="K9" s="1269"/>
      <c r="L9" s="1269"/>
      <c r="M9" s="1269"/>
      <c r="N9" s="1306"/>
      <c r="O9" s="157"/>
      <c r="P9" s="157"/>
    </row>
    <row r="10" spans="1:16" s="78" customFormat="1" ht="12.75" customHeight="1">
      <c r="A10" s="1304" t="s">
        <v>28</v>
      </c>
      <c r="B10" s="1305"/>
      <c r="C10" s="280">
        <v>1</v>
      </c>
      <c r="D10" s="280">
        <v>2</v>
      </c>
      <c r="E10" s="280">
        <v>3</v>
      </c>
      <c r="F10" s="280">
        <v>4</v>
      </c>
      <c r="G10" s="280">
        <v>5</v>
      </c>
      <c r="H10" s="280">
        <v>6</v>
      </c>
      <c r="I10" s="280">
        <v>7</v>
      </c>
      <c r="J10" s="280">
        <v>8</v>
      </c>
      <c r="K10" s="280">
        <v>9</v>
      </c>
      <c r="L10" s="280">
        <v>10</v>
      </c>
      <c r="M10" s="280">
        <v>11</v>
      </c>
      <c r="N10" s="280">
        <v>12</v>
      </c>
      <c r="O10" s="158"/>
      <c r="P10" s="158"/>
    </row>
    <row r="11" spans="1:16" ht="21.75" customHeight="1">
      <c r="A11" s="192" t="s">
        <v>0</v>
      </c>
      <c r="B11" s="195" t="s">
        <v>100</v>
      </c>
      <c r="C11" s="213">
        <f>C12+C13</f>
        <v>32572195</v>
      </c>
      <c r="D11" s="213">
        <f aca="true" t="shared" si="0" ref="D11:N11">D12+D13</f>
        <v>13289804</v>
      </c>
      <c r="E11" s="213">
        <f t="shared" si="0"/>
        <v>13286976</v>
      </c>
      <c r="F11" s="213">
        <f t="shared" si="0"/>
        <v>882394</v>
      </c>
      <c r="G11" s="213">
        <f t="shared" si="0"/>
        <v>12404582</v>
      </c>
      <c r="H11" s="213">
        <f t="shared" si="0"/>
        <v>1600</v>
      </c>
      <c r="I11" s="213">
        <f t="shared" si="0"/>
        <v>2365929</v>
      </c>
      <c r="J11" s="213">
        <f t="shared" si="0"/>
        <v>3559982</v>
      </c>
      <c r="K11" s="213">
        <f t="shared" si="0"/>
        <v>4257</v>
      </c>
      <c r="L11" s="213">
        <f t="shared" si="0"/>
        <v>1000</v>
      </c>
      <c r="M11" s="213">
        <f t="shared" si="0"/>
        <v>0</v>
      </c>
      <c r="N11" s="213">
        <f t="shared" si="0"/>
        <v>62647</v>
      </c>
      <c r="O11" s="89"/>
      <c r="P11" s="89"/>
    </row>
    <row r="12" spans="1:16" ht="21" customHeight="1">
      <c r="A12" s="79">
        <v>1</v>
      </c>
      <c r="B12" s="196" t="s">
        <v>101</v>
      </c>
      <c r="C12" s="213">
        <f>D12+E12+H12+I12+J12+K12+L12+M12+N12</f>
        <v>22768684</v>
      </c>
      <c r="D12" s="365">
        <f>534960+3144666+1406102+441593+108446+528917+215938+642261+757625+410297+69277</f>
        <v>8260082</v>
      </c>
      <c r="E12" s="214">
        <f>F12+G12</f>
        <v>10656879</v>
      </c>
      <c r="F12" s="365">
        <f>65200+385347+58760+161688+55410+21990+19200+46750+5200+0</f>
        <v>819545</v>
      </c>
      <c r="G12" s="365">
        <f>400665+1424652+806853+480522+386183+275045+532512+1190274+1513109+2728828+103652-4961</f>
        <v>9837334</v>
      </c>
      <c r="H12" s="365">
        <v>200</v>
      </c>
      <c r="I12" s="365">
        <f>4500+32229+115294+93466+237757+31394+19689+239509+352540+100</f>
        <v>1126478</v>
      </c>
      <c r="J12" s="365">
        <f>285490+1241400+256889+52149+150243+268820+69846+398321+0</f>
        <v>2723158</v>
      </c>
      <c r="K12" s="365">
        <v>887</v>
      </c>
      <c r="L12" s="365">
        <v>1000</v>
      </c>
      <c r="M12" s="365">
        <v>0</v>
      </c>
      <c r="N12" s="215">
        <v>0</v>
      </c>
      <c r="O12" s="89"/>
      <c r="P12" s="89"/>
    </row>
    <row r="13" spans="1:16" ht="21" customHeight="1">
      <c r="A13" s="79">
        <v>2</v>
      </c>
      <c r="B13" s="196" t="s">
        <v>102</v>
      </c>
      <c r="C13" s="213">
        <f>D13+E13+H13+I13+J13+K13+L13+M13+N13</f>
        <v>9803511</v>
      </c>
      <c r="D13" s="215">
        <f>144740+761466+827874+528348+61148+616516+199557+527781+1054853+307439+0</f>
        <v>5029722</v>
      </c>
      <c r="E13" s="214">
        <f>F13+G13</f>
        <v>2630097</v>
      </c>
      <c r="F13" s="215">
        <f>17694+3690+30717+8648+400+1700+0</f>
        <v>62849</v>
      </c>
      <c r="G13" s="215">
        <f>186617+255307+99738+242322+322070+304413+140599+121796+785473+89279+14572+5062</f>
        <v>2567248</v>
      </c>
      <c r="H13" s="215">
        <v>1400</v>
      </c>
      <c r="I13" s="215">
        <f>19056+163799+106798+77905+16550+255873+70411+432476+64583+24250+7750</f>
        <v>1239451</v>
      </c>
      <c r="J13" s="215">
        <f>64077+486930+79517+8914+45385+37891+82807+31303</f>
        <v>836824</v>
      </c>
      <c r="K13" s="215">
        <v>3370</v>
      </c>
      <c r="L13" s="215">
        <v>0</v>
      </c>
      <c r="M13" s="215">
        <v>0</v>
      </c>
      <c r="N13" s="215">
        <v>62647</v>
      </c>
      <c r="O13" s="89"/>
      <c r="P13" s="89"/>
    </row>
    <row r="14" spans="1:16" ht="23.25" customHeight="1">
      <c r="A14" s="194" t="s">
        <v>1</v>
      </c>
      <c r="B14" s="197" t="s">
        <v>103</v>
      </c>
      <c r="C14" s="213">
        <f>D14+E14+H14+I14+J14+K14+L14+M14+N14</f>
        <v>267892</v>
      </c>
      <c r="D14" s="216">
        <f>38061+1775+0</f>
        <v>39836</v>
      </c>
      <c r="E14" s="214">
        <f>F14+G14</f>
        <v>220337</v>
      </c>
      <c r="F14" s="216">
        <v>100</v>
      </c>
      <c r="G14" s="216">
        <f>8050+13625+200+1300+850+400+45086+33042+117684</f>
        <v>220237</v>
      </c>
      <c r="H14" s="216">
        <v>0</v>
      </c>
      <c r="I14" s="216">
        <f>381+6738+200+400+0</f>
        <v>7719</v>
      </c>
      <c r="J14" s="216">
        <v>0</v>
      </c>
      <c r="K14" s="216">
        <v>0</v>
      </c>
      <c r="L14" s="216">
        <v>0</v>
      </c>
      <c r="M14" s="216">
        <v>0</v>
      </c>
      <c r="N14" s="216">
        <v>0</v>
      </c>
      <c r="O14" s="89"/>
      <c r="P14" s="89"/>
    </row>
    <row r="15" spans="1:16" ht="21" customHeight="1">
      <c r="A15" s="194" t="s">
        <v>9</v>
      </c>
      <c r="B15" s="197" t="s">
        <v>104</v>
      </c>
      <c r="C15" s="213">
        <f>D15+E15+H15+I15+J15+K15+L15+M15+N15</f>
        <v>136310</v>
      </c>
      <c r="D15" s="216">
        <v>0</v>
      </c>
      <c r="E15" s="214">
        <f>F15+G15</f>
        <v>0</v>
      </c>
      <c r="F15" s="216">
        <v>0</v>
      </c>
      <c r="G15" s="216">
        <v>0</v>
      </c>
      <c r="H15" s="216">
        <v>0</v>
      </c>
      <c r="I15" s="216">
        <v>0</v>
      </c>
      <c r="J15" s="216">
        <v>136310</v>
      </c>
      <c r="K15" s="216">
        <v>0</v>
      </c>
      <c r="L15" s="216">
        <v>0</v>
      </c>
      <c r="M15" s="216">
        <v>0</v>
      </c>
      <c r="N15" s="216">
        <v>0</v>
      </c>
      <c r="O15" s="89"/>
      <c r="P15" s="89"/>
    </row>
    <row r="16" spans="1:16" ht="23.25" customHeight="1">
      <c r="A16" s="193" t="s">
        <v>105</v>
      </c>
      <c r="B16" s="198" t="s">
        <v>106</v>
      </c>
      <c r="C16" s="217">
        <f>C17+C26</f>
        <v>32304303</v>
      </c>
      <c r="D16" s="217">
        <f aca="true" t="shared" si="1" ref="D16:N16">D17+D26</f>
        <v>13249968</v>
      </c>
      <c r="E16" s="217">
        <f t="shared" si="1"/>
        <v>13066639</v>
      </c>
      <c r="F16" s="217">
        <f t="shared" si="1"/>
        <v>882294</v>
      </c>
      <c r="G16" s="217">
        <f t="shared" si="1"/>
        <v>12184345</v>
      </c>
      <c r="H16" s="217">
        <f t="shared" si="1"/>
        <v>1600</v>
      </c>
      <c r="I16" s="217">
        <f t="shared" si="1"/>
        <v>2358210</v>
      </c>
      <c r="J16" s="217">
        <f t="shared" si="1"/>
        <v>3559982</v>
      </c>
      <c r="K16" s="217">
        <f t="shared" si="1"/>
        <v>4257</v>
      </c>
      <c r="L16" s="217">
        <f t="shared" si="1"/>
        <v>1000</v>
      </c>
      <c r="M16" s="217">
        <f t="shared" si="1"/>
        <v>0</v>
      </c>
      <c r="N16" s="367">
        <f t="shared" si="1"/>
        <v>62647</v>
      </c>
      <c r="O16" s="89"/>
      <c r="P16" s="89"/>
    </row>
    <row r="17" spans="1:16" ht="21.75" customHeight="1">
      <c r="A17" s="193" t="s">
        <v>37</v>
      </c>
      <c r="B17" s="199" t="s">
        <v>107</v>
      </c>
      <c r="C17" s="213">
        <f>C18+C19+C20+C21+C22+C23+C24+C25</f>
        <v>23071338</v>
      </c>
      <c r="D17" s="213">
        <f aca="true" t="shared" si="2" ref="D17:N17">D18+D19+D20+D21+D22+D23+D24+D25</f>
        <v>11628806</v>
      </c>
      <c r="E17" s="213">
        <f t="shared" si="2"/>
        <v>6086495</v>
      </c>
      <c r="F17" s="213">
        <f t="shared" si="2"/>
        <v>296526</v>
      </c>
      <c r="G17" s="213">
        <f t="shared" si="2"/>
        <v>5789969</v>
      </c>
      <c r="H17" s="213">
        <f t="shared" si="2"/>
        <v>1600</v>
      </c>
      <c r="I17" s="213">
        <f t="shared" si="2"/>
        <v>2229817</v>
      </c>
      <c r="J17" s="213">
        <f t="shared" si="2"/>
        <v>3056716</v>
      </c>
      <c r="K17" s="213">
        <f t="shared" si="2"/>
        <v>4257</v>
      </c>
      <c r="L17" s="213">
        <f t="shared" si="2"/>
        <v>1000</v>
      </c>
      <c r="M17" s="213">
        <f t="shared" si="2"/>
        <v>0</v>
      </c>
      <c r="N17" s="213">
        <f t="shared" si="2"/>
        <v>62647</v>
      </c>
      <c r="O17" s="89"/>
      <c r="P17" s="82"/>
    </row>
    <row r="18" spans="1:16" ht="21" customHeight="1">
      <c r="A18" s="79" t="s">
        <v>39</v>
      </c>
      <c r="B18" s="196" t="s">
        <v>108</v>
      </c>
      <c r="C18" s="213">
        <f>D18+E18+H18+I18+J18+K18+L18+M18+N18</f>
        <v>5921823</v>
      </c>
      <c r="D18" s="366">
        <f>209335+560050+159437+142196+514061+22188+541598+234393+367543+129604</f>
        <v>2880405</v>
      </c>
      <c r="E18" s="218">
        <f>F18+G18</f>
        <v>1630459</v>
      </c>
      <c r="F18" s="696">
        <f>16115+4200+25060+4349+400+1700+0+2</f>
        <v>51826</v>
      </c>
      <c r="G18" s="366">
        <f>13905+135604+184534+52113+143871+259752+228155+57561+55370+124508+323159+0+101</f>
        <v>1578633</v>
      </c>
      <c r="H18" s="366">
        <v>1400</v>
      </c>
      <c r="I18" s="366">
        <f>7750+34650+54412+88644+57037+283770+15650+48186+38200+126528+19156-13436</f>
        <v>760547</v>
      </c>
      <c r="J18" s="366">
        <f>15796+87405+19381+58621+15141+93263+286728+0-122911+136310</f>
        <v>589734</v>
      </c>
      <c r="K18" s="366">
        <v>4257</v>
      </c>
      <c r="L18" s="366">
        <v>0</v>
      </c>
      <c r="M18" s="366">
        <v>0</v>
      </c>
      <c r="N18" s="215">
        <v>55021</v>
      </c>
      <c r="O18" s="89"/>
      <c r="P18" s="82"/>
    </row>
    <row r="19" spans="1:16" ht="21" customHeight="1">
      <c r="A19" s="79" t="s">
        <v>40</v>
      </c>
      <c r="B19" s="196" t="s">
        <v>109</v>
      </c>
      <c r="C19" s="213">
        <f aca="true" t="shared" si="3" ref="C19:C25">D19+E19+H19+I19+J19+K19+L19+M19+N19</f>
        <v>93673</v>
      </c>
      <c r="D19" s="366">
        <f>9585+5452+0+3150+0</f>
        <v>18187</v>
      </c>
      <c r="E19" s="218">
        <f aca="true" t="shared" si="4" ref="E19:E26">F19+G19</f>
        <v>65536</v>
      </c>
      <c r="F19" s="366">
        <v>1490</v>
      </c>
      <c r="G19" s="366">
        <f>61889+0+2157+0</f>
        <v>64046</v>
      </c>
      <c r="H19" s="366">
        <v>0</v>
      </c>
      <c r="I19" s="366">
        <v>9950</v>
      </c>
      <c r="J19" s="366">
        <f>0</f>
        <v>0</v>
      </c>
      <c r="K19" s="366">
        <v>0</v>
      </c>
      <c r="L19" s="366">
        <v>0</v>
      </c>
      <c r="M19" s="366">
        <v>0</v>
      </c>
      <c r="N19" s="215">
        <v>0</v>
      </c>
      <c r="O19" s="89"/>
      <c r="P19" s="82"/>
    </row>
    <row r="20" spans="1:16" ht="21.75" customHeight="1">
      <c r="A20" s="79" t="s">
        <v>110</v>
      </c>
      <c r="B20" s="196" t="s">
        <v>171</v>
      </c>
      <c r="C20" s="213">
        <f t="shared" si="3"/>
        <v>8790</v>
      </c>
      <c r="D20" s="366">
        <v>2950</v>
      </c>
      <c r="E20" s="218">
        <f t="shared" si="4"/>
        <v>5840</v>
      </c>
      <c r="F20" s="366">
        <v>0</v>
      </c>
      <c r="G20" s="366">
        <v>5840</v>
      </c>
      <c r="H20" s="366">
        <v>0</v>
      </c>
      <c r="I20" s="366">
        <v>0</v>
      </c>
      <c r="J20" s="366">
        <v>0</v>
      </c>
      <c r="K20" s="366">
        <v>0</v>
      </c>
      <c r="L20" s="366">
        <v>0</v>
      </c>
      <c r="M20" s="366">
        <v>0</v>
      </c>
      <c r="N20" s="215">
        <v>0</v>
      </c>
      <c r="O20" s="89"/>
      <c r="P20" s="82"/>
    </row>
    <row r="21" spans="1:16" ht="19.5" customHeight="1">
      <c r="A21" s="79" t="s">
        <v>112</v>
      </c>
      <c r="B21" s="196" t="s">
        <v>111</v>
      </c>
      <c r="C21" s="213">
        <f t="shared" si="3"/>
        <v>14265430</v>
      </c>
      <c r="D21" s="366">
        <f>422063+2344275+1159699+239918+108406+470958+200169+890561+1214404+393182+22007</f>
        <v>7465642</v>
      </c>
      <c r="E21" s="218">
        <f t="shared" si="4"/>
        <v>4038337</v>
      </c>
      <c r="F21" s="366">
        <f>144913+10813+59344+3640+100+5200+0</f>
        <v>224010</v>
      </c>
      <c r="G21" s="366">
        <f>1134005+386782+311711+26501+145196+140149+259919+475562+816210+112094+6200-2</f>
        <v>3814327</v>
      </c>
      <c r="H21" s="366">
        <v>200</v>
      </c>
      <c r="I21" s="366">
        <f>125109+202438+45248+8106+191235+59950+415472+10171+18326+0</f>
        <v>1076055</v>
      </c>
      <c r="J21" s="366">
        <f>131767+738986+27330+144016+255584+18510+345870+15507+0</f>
        <v>1677570</v>
      </c>
      <c r="K21" s="366">
        <v>0</v>
      </c>
      <c r="L21" s="366">
        <v>0</v>
      </c>
      <c r="M21" s="366">
        <v>0</v>
      </c>
      <c r="N21" s="215">
        <v>7626</v>
      </c>
      <c r="O21" s="89"/>
      <c r="P21" s="82"/>
    </row>
    <row r="22" spans="1:16" ht="21" customHeight="1">
      <c r="A22" s="79" t="s">
        <v>114</v>
      </c>
      <c r="B22" s="196" t="s">
        <v>113</v>
      </c>
      <c r="C22" s="213">
        <f t="shared" si="3"/>
        <v>207566</v>
      </c>
      <c r="D22" s="215">
        <f>200+26295+1308+9591+2250+250</f>
        <v>39894</v>
      </c>
      <c r="E22" s="218">
        <f t="shared" si="4"/>
        <v>52632</v>
      </c>
      <c r="F22" s="215">
        <v>19200</v>
      </c>
      <c r="G22" s="215">
        <f>1+9942+1758+800+12981+7950</f>
        <v>33432</v>
      </c>
      <c r="H22" s="215">
        <v>0</v>
      </c>
      <c r="I22" s="215">
        <f>39278+16658+0</f>
        <v>55936</v>
      </c>
      <c r="J22" s="215">
        <v>59104</v>
      </c>
      <c r="K22" s="215">
        <v>0</v>
      </c>
      <c r="L22" s="215">
        <v>0</v>
      </c>
      <c r="M22" s="215">
        <v>0</v>
      </c>
      <c r="N22" s="215">
        <v>0</v>
      </c>
      <c r="O22" s="89"/>
      <c r="P22" s="82"/>
    </row>
    <row r="23" spans="1:16" ht="21" customHeight="1">
      <c r="A23" s="79" t="s">
        <v>116</v>
      </c>
      <c r="B23" s="196" t="s">
        <v>115</v>
      </c>
      <c r="C23" s="213">
        <f t="shared" si="3"/>
        <v>713342</v>
      </c>
      <c r="D23" s="366">
        <f>13420+302063+0</f>
        <v>315483</v>
      </c>
      <c r="E23" s="218">
        <f t="shared" si="4"/>
        <v>0</v>
      </c>
      <c r="F23" s="366">
        <v>0</v>
      </c>
      <c r="G23" s="366">
        <v>0</v>
      </c>
      <c r="H23" s="366">
        <v>0</v>
      </c>
      <c r="I23" s="366">
        <v>253323</v>
      </c>
      <c r="J23" s="366">
        <v>144536</v>
      </c>
      <c r="K23" s="366">
        <v>0</v>
      </c>
      <c r="L23" s="366">
        <v>0</v>
      </c>
      <c r="M23" s="366">
        <v>0</v>
      </c>
      <c r="N23" s="215">
        <v>0</v>
      </c>
      <c r="O23" s="89"/>
      <c r="P23" s="82"/>
    </row>
    <row r="24" spans="1:16" ht="25.5">
      <c r="A24" s="79" t="s">
        <v>118</v>
      </c>
      <c r="B24" s="80" t="s">
        <v>117</v>
      </c>
      <c r="C24" s="213">
        <f t="shared" si="3"/>
        <v>0</v>
      </c>
      <c r="D24" s="366">
        <v>0</v>
      </c>
      <c r="E24" s="218">
        <f t="shared" si="4"/>
        <v>0</v>
      </c>
      <c r="F24" s="366">
        <v>0</v>
      </c>
      <c r="G24" s="366">
        <v>0</v>
      </c>
      <c r="H24" s="366">
        <v>0</v>
      </c>
      <c r="I24" s="366">
        <v>0</v>
      </c>
      <c r="J24" s="366">
        <v>0</v>
      </c>
      <c r="K24" s="366">
        <v>0</v>
      </c>
      <c r="L24" s="366">
        <v>0</v>
      </c>
      <c r="M24" s="366">
        <v>0</v>
      </c>
      <c r="N24" s="215">
        <v>0</v>
      </c>
      <c r="O24" s="89"/>
      <c r="P24" s="82"/>
    </row>
    <row r="25" spans="1:16" ht="21" customHeight="1">
      <c r="A25" s="79" t="s">
        <v>154</v>
      </c>
      <c r="B25" s="196" t="s">
        <v>119</v>
      </c>
      <c r="C25" s="213">
        <f t="shared" si="3"/>
        <v>1860714</v>
      </c>
      <c r="D25" s="215">
        <f>3722+18924+309673+573926+0</f>
        <v>906245</v>
      </c>
      <c r="E25" s="218">
        <f t="shared" si="4"/>
        <v>293691</v>
      </c>
      <c r="F25" s="215">
        <v>0</v>
      </c>
      <c r="G25" s="215">
        <f>5101+10500+0+278090</f>
        <v>293691</v>
      </c>
      <c r="H25" s="215">
        <v>0</v>
      </c>
      <c r="I25" s="215">
        <f>800+73206+0</f>
        <v>74006</v>
      </c>
      <c r="J25" s="215">
        <f>66724+103782+270005+145261</f>
        <v>585772</v>
      </c>
      <c r="K25" s="215">
        <v>0</v>
      </c>
      <c r="L25" s="215">
        <v>1000</v>
      </c>
      <c r="M25" s="215">
        <v>0</v>
      </c>
      <c r="N25" s="215">
        <v>0</v>
      </c>
      <c r="O25" s="89"/>
      <c r="P25" s="82"/>
    </row>
    <row r="26" spans="1:16" ht="22.5" customHeight="1">
      <c r="A26" s="193" t="s">
        <v>38</v>
      </c>
      <c r="B26" s="198" t="s">
        <v>120</v>
      </c>
      <c r="C26" s="213">
        <f>D26+E26+H26+I26+J26+K26+L26+M26+N26</f>
        <v>9232965</v>
      </c>
      <c r="D26" s="213">
        <f>47270+113444+37824+81983+46835+147879+33970+143340+527961+318325+122331</f>
        <v>1621162</v>
      </c>
      <c r="E26" s="218">
        <f t="shared" si="4"/>
        <v>6980144</v>
      </c>
      <c r="F26" s="213">
        <f>65200+241913+47437+107999+59709+16860+46650+0</f>
        <v>585768</v>
      </c>
      <c r="G26" s="213">
        <f>98119+234196+1195755+400774+206089+222966+218999+684471+854364+1224084+1054559</f>
        <v>6394376</v>
      </c>
      <c r="H26" s="213">
        <v>0</v>
      </c>
      <c r="I26" s="213">
        <f>4500+3123+43654+874+8475+7530+2960+32463+11379+13435</f>
        <v>128393</v>
      </c>
      <c r="J26" s="213">
        <f>13435+288075+112031+52149+3122+47853+0-13399</f>
        <v>503266</v>
      </c>
      <c r="K26" s="213">
        <v>0</v>
      </c>
      <c r="L26" s="213">
        <v>0</v>
      </c>
      <c r="M26" s="213">
        <v>0</v>
      </c>
      <c r="N26" s="219">
        <v>0</v>
      </c>
      <c r="O26" s="89"/>
      <c r="P26" s="82"/>
    </row>
    <row r="27" spans="1:16" ht="26.25" customHeight="1" thickBot="1">
      <c r="A27" s="325" t="s">
        <v>43</v>
      </c>
      <c r="B27" s="329" t="s">
        <v>172</v>
      </c>
      <c r="C27" s="368">
        <f>(C18+C19+C20)/C17*100</f>
        <v>26.111558852806887</v>
      </c>
      <c r="D27" s="369">
        <f aca="true" t="shared" si="5" ref="D27:N27">(D18+D19+D20)/D17*100</f>
        <v>24.951332062810234</v>
      </c>
      <c r="E27" s="368">
        <f t="shared" si="5"/>
        <v>27.960837887815565</v>
      </c>
      <c r="F27" s="369">
        <f t="shared" si="5"/>
        <v>17.98021084154509</v>
      </c>
      <c r="G27" s="369">
        <f t="shared" si="5"/>
        <v>28.47198318332965</v>
      </c>
      <c r="H27" s="369">
        <f t="shared" si="5"/>
        <v>87.5</v>
      </c>
      <c r="I27" s="369">
        <f t="shared" si="5"/>
        <v>34.55427059709385</v>
      </c>
      <c r="J27" s="369">
        <f t="shared" si="5"/>
        <v>19.293058301785315</v>
      </c>
      <c r="K27" s="369">
        <f t="shared" si="5"/>
        <v>100</v>
      </c>
      <c r="L27" s="369">
        <f t="shared" si="5"/>
        <v>0</v>
      </c>
      <c r="M27" s="369" t="e">
        <f t="shared" si="5"/>
        <v>#DIV/0!</v>
      </c>
      <c r="N27" s="369">
        <f t="shared" si="5"/>
        <v>87.82703082350312</v>
      </c>
      <c r="O27" s="89"/>
      <c r="P27" s="82"/>
    </row>
    <row r="28" spans="1:14" s="82" customFormat="1" ht="15.75" customHeight="1" thickTop="1">
      <c r="A28" s="81"/>
      <c r="B28" s="76"/>
      <c r="K28" s="162"/>
      <c r="L28" s="162"/>
      <c r="M28" s="1298" t="s">
        <v>7</v>
      </c>
      <c r="N28" s="1298"/>
    </row>
    <row r="29" spans="1:16" s="73" customFormat="1" ht="21.75" customHeight="1">
      <c r="A29" s="159"/>
      <c r="B29" s="89"/>
      <c r="C29" s="370">
        <f>C26+C17+C14-C11</f>
        <v>0</v>
      </c>
      <c r="D29" s="370">
        <f aca="true" t="shared" si="6" ref="D29:N29">D26+D17+D14-D11</f>
        <v>0</v>
      </c>
      <c r="E29" s="370">
        <f t="shared" si="6"/>
        <v>0</v>
      </c>
      <c r="F29" s="370">
        <f t="shared" si="6"/>
        <v>0</v>
      </c>
      <c r="G29" s="370">
        <f t="shared" si="6"/>
        <v>0</v>
      </c>
      <c r="H29" s="370">
        <f t="shared" si="6"/>
        <v>0</v>
      </c>
      <c r="I29" s="370">
        <f t="shared" si="6"/>
        <v>0</v>
      </c>
      <c r="J29" s="370">
        <f t="shared" si="6"/>
        <v>0</v>
      </c>
      <c r="K29" s="370">
        <f t="shared" si="6"/>
        <v>0</v>
      </c>
      <c r="L29" s="370">
        <f t="shared" si="6"/>
        <v>0</v>
      </c>
      <c r="M29" s="370">
        <f t="shared" si="6"/>
        <v>0</v>
      </c>
      <c r="N29" s="370">
        <f t="shared" si="6"/>
        <v>0</v>
      </c>
      <c r="O29" s="89"/>
      <c r="P29" s="89"/>
    </row>
    <row r="30" spans="1:10" s="73" customFormat="1" ht="21.75" customHeight="1">
      <c r="A30" s="1294"/>
      <c r="B30" s="1294"/>
      <c r="C30" s="83"/>
      <c r="D30" s="83"/>
      <c r="E30" s="83"/>
      <c r="I30" s="1294"/>
      <c r="J30" s="1294"/>
    </row>
    <row r="31" spans="1:10" s="73" customFormat="1" ht="21.75" customHeight="1">
      <c r="A31" s="1294"/>
      <c r="B31" s="1294"/>
      <c r="C31" s="83"/>
      <c r="D31" s="83"/>
      <c r="E31" s="83"/>
      <c r="F31" s="73" t="s">
        <v>3</v>
      </c>
      <c r="I31" s="1295"/>
      <c r="J31" s="1295"/>
    </row>
    <row r="32" spans="1:10" s="73" customFormat="1" ht="21.75" customHeight="1">
      <c r="A32" s="84"/>
      <c r="B32" s="85"/>
      <c r="C32" s="83"/>
      <c r="D32" s="83" t="s">
        <v>3</v>
      </c>
      <c r="E32" s="83"/>
      <c r="I32" s="1294"/>
      <c r="J32" s="1294"/>
    </row>
    <row r="33" s="73" customFormat="1" ht="19.5" customHeight="1">
      <c r="A33" s="86"/>
    </row>
    <row r="34" spans="1:13" ht="24" customHeight="1">
      <c r="A34" s="1297"/>
      <c r="B34" s="1297"/>
      <c r="C34" s="73"/>
      <c r="D34" s="73"/>
      <c r="E34" s="73"/>
      <c r="F34" s="73"/>
      <c r="G34" s="73"/>
      <c r="H34" s="73"/>
      <c r="I34" s="1297"/>
      <c r="J34" s="1297"/>
      <c r="K34" s="73"/>
      <c r="L34" s="73"/>
      <c r="M34" s="73"/>
    </row>
    <row r="35" spans="1:13" ht="17.25" customHeight="1">
      <c r="A35" s="1296"/>
      <c r="B35" s="1296"/>
      <c r="C35" s="73"/>
      <c r="D35" s="73"/>
      <c r="E35" s="73"/>
      <c r="F35" s="73"/>
      <c r="G35" s="73"/>
      <c r="H35" s="73"/>
      <c r="I35" s="1296"/>
      <c r="J35" s="1296"/>
      <c r="K35" s="73"/>
      <c r="L35" s="73"/>
      <c r="M35" s="73"/>
    </row>
    <row r="36" spans="1:13" ht="17.25" customHeight="1">
      <c r="A36" s="1296"/>
      <c r="B36" s="1296"/>
      <c r="C36" s="73"/>
      <c r="D36" s="73"/>
      <c r="E36" s="73"/>
      <c r="F36" s="73"/>
      <c r="G36" s="73"/>
      <c r="H36" s="73"/>
      <c r="I36" s="1296"/>
      <c r="J36" s="1296"/>
      <c r="K36" s="73"/>
      <c r="L36" s="73"/>
      <c r="M36" s="73"/>
    </row>
    <row r="37" spans="1:13" ht="17.25" customHeight="1">
      <c r="A37" s="1296"/>
      <c r="B37" s="1296"/>
      <c r="C37" s="73"/>
      <c r="D37" s="73"/>
      <c r="E37" s="73"/>
      <c r="F37" s="73"/>
      <c r="G37" s="73"/>
      <c r="H37" s="73"/>
      <c r="I37" s="1296"/>
      <c r="J37" s="1296"/>
      <c r="K37" s="73"/>
      <c r="L37" s="73"/>
      <c r="M37" s="73"/>
    </row>
    <row r="38" spans="1:13" ht="17.25" customHeight="1">
      <c r="A38" s="1296"/>
      <c r="B38" s="1296"/>
      <c r="C38" s="73"/>
      <c r="D38" s="73"/>
      <c r="E38" s="73"/>
      <c r="F38" s="73"/>
      <c r="G38" s="73"/>
      <c r="H38" s="73"/>
      <c r="I38" s="1296"/>
      <c r="J38" s="1296"/>
      <c r="K38" s="73"/>
      <c r="L38" s="73"/>
      <c r="M38" s="73"/>
    </row>
    <row r="39" spans="1:13" ht="15">
      <c r="A39" s="86"/>
      <c r="B39" s="73"/>
      <c r="C39" s="73"/>
      <c r="D39" s="73"/>
      <c r="E39" s="73"/>
      <c r="F39" s="73"/>
      <c r="G39" s="73"/>
      <c r="H39" s="73"/>
      <c r="I39" s="1296"/>
      <c r="J39" s="1296"/>
      <c r="K39" s="73"/>
      <c r="L39" s="73"/>
      <c r="M39" s="73"/>
    </row>
    <row r="40" spans="1:13" ht="15">
      <c r="A40" s="86"/>
      <c r="B40" s="73"/>
      <c r="C40" s="73"/>
      <c r="D40" s="73"/>
      <c r="E40" s="73"/>
      <c r="F40" s="73"/>
      <c r="G40" s="73"/>
      <c r="H40" s="73"/>
      <c r="I40" s="77"/>
      <c r="J40" s="77"/>
      <c r="K40" s="73"/>
      <c r="L40" s="73"/>
      <c r="M40" s="73"/>
    </row>
    <row r="41" spans="1:13" ht="17.25">
      <c r="A41" s="86"/>
      <c r="B41" s="1297"/>
      <c r="C41" s="1297"/>
      <c r="D41" s="1297"/>
      <c r="E41" s="1297"/>
      <c r="F41" s="1297"/>
      <c r="G41" s="87"/>
      <c r="H41" s="87"/>
      <c r="I41" s="73"/>
      <c r="J41" s="73"/>
      <c r="K41" s="73"/>
      <c r="L41" s="73"/>
      <c r="M41" s="73"/>
    </row>
    <row r="42" spans="1:13" ht="15.75">
      <c r="A42" s="86"/>
      <c r="B42" s="1296"/>
      <c r="C42" s="1296"/>
      <c r="D42" s="1296"/>
      <c r="E42" s="1296"/>
      <c r="F42" s="1296"/>
      <c r="G42" s="77"/>
      <c r="H42" s="77"/>
      <c r="I42" s="73"/>
      <c r="J42" s="73"/>
      <c r="K42" s="88"/>
      <c r="L42" s="88"/>
      <c r="M42" s="88"/>
    </row>
    <row r="43" spans="1:13" ht="15">
      <c r="A43" s="86"/>
      <c r="B43" s="1296"/>
      <c r="C43" s="1296"/>
      <c r="D43" s="1296"/>
      <c r="E43" s="1296"/>
      <c r="F43" s="1296"/>
      <c r="G43" s="77"/>
      <c r="H43" s="77"/>
      <c r="I43" s="73"/>
      <c r="J43" s="73"/>
      <c r="K43" s="73"/>
      <c r="L43" s="73"/>
      <c r="M43" s="73"/>
    </row>
    <row r="44" spans="1:13" ht="15">
      <c r="A44" s="86"/>
      <c r="B44" s="1296"/>
      <c r="C44" s="1296"/>
      <c r="D44" s="1296"/>
      <c r="E44" s="1296"/>
      <c r="F44" s="1296"/>
      <c r="G44" s="77"/>
      <c r="H44" s="77"/>
      <c r="I44" s="73"/>
      <c r="J44" s="73"/>
      <c r="K44" s="73"/>
      <c r="L44" s="73"/>
      <c r="M44" s="73"/>
    </row>
    <row r="45" spans="1:13" ht="15">
      <c r="A45" s="86"/>
      <c r="B45" s="1296"/>
      <c r="C45" s="1296"/>
      <c r="D45" s="1296"/>
      <c r="E45" s="1296"/>
      <c r="F45" s="1296"/>
      <c r="G45" s="77"/>
      <c r="H45" s="77"/>
      <c r="I45" s="73"/>
      <c r="J45" s="73"/>
      <c r="K45" s="73"/>
      <c r="L45" s="73"/>
      <c r="M45" s="73"/>
    </row>
    <row r="46" spans="1:13" ht="15">
      <c r="A46" s="86"/>
      <c r="B46" s="73"/>
      <c r="C46" s="73"/>
      <c r="D46" s="73"/>
      <c r="E46" s="73"/>
      <c r="F46" s="73"/>
      <c r="G46" s="73"/>
      <c r="H46" s="73"/>
      <c r="I46" s="73"/>
      <c r="J46" s="73"/>
      <c r="K46" s="73"/>
      <c r="L46" s="73"/>
      <c r="M46" s="73"/>
    </row>
    <row r="47" spans="1:13" ht="15.75">
      <c r="A47" s="86"/>
      <c r="B47" s="89"/>
      <c r="C47" s="73"/>
      <c r="D47" s="73"/>
      <c r="E47" s="73"/>
      <c r="F47" s="73"/>
      <c r="G47" s="73"/>
      <c r="H47" s="73"/>
      <c r="I47" s="73"/>
      <c r="J47" s="73"/>
      <c r="K47" s="73"/>
      <c r="L47" s="73"/>
      <c r="M47" s="73"/>
    </row>
    <row r="48" spans="1:13" ht="15">
      <c r="A48" s="86"/>
      <c r="B48" s="73"/>
      <c r="C48" s="73"/>
      <c r="D48" s="73"/>
      <c r="E48" s="73"/>
      <c r="F48" s="73"/>
      <c r="G48" s="73"/>
      <c r="H48" s="73"/>
      <c r="I48" s="73"/>
      <c r="J48" s="73"/>
      <c r="K48" s="73"/>
      <c r="L48" s="73"/>
      <c r="M48" s="73"/>
    </row>
    <row r="49" spans="1:13" ht="15">
      <c r="A49" s="86"/>
      <c r="B49" s="73"/>
      <c r="C49" s="73"/>
      <c r="D49" s="73"/>
      <c r="E49" s="73"/>
      <c r="F49" s="73"/>
      <c r="G49" s="73"/>
      <c r="H49" s="73"/>
      <c r="I49" s="73"/>
      <c r="J49" s="73"/>
      <c r="K49" s="73"/>
      <c r="L49" s="73"/>
      <c r="M49" s="73"/>
    </row>
    <row r="50" spans="1:13" ht="15">
      <c r="A50" s="86"/>
      <c r="B50" s="73"/>
      <c r="C50" s="73"/>
      <c r="D50" s="73"/>
      <c r="E50" s="73"/>
      <c r="F50" s="73"/>
      <c r="G50" s="73"/>
      <c r="H50" s="73"/>
      <c r="I50" s="73"/>
      <c r="J50" s="73"/>
      <c r="K50" s="73"/>
      <c r="L50" s="73"/>
      <c r="M50" s="73"/>
    </row>
    <row r="51" spans="1:13" ht="15">
      <c r="A51" s="86"/>
      <c r="B51" s="73"/>
      <c r="C51" s="73"/>
      <c r="D51" s="73"/>
      <c r="E51" s="73"/>
      <c r="F51" s="73"/>
      <c r="G51" s="73"/>
      <c r="H51" s="73"/>
      <c r="I51" s="73"/>
      <c r="J51" s="73"/>
      <c r="K51" s="73"/>
      <c r="L51" s="73"/>
      <c r="M51" s="73"/>
    </row>
    <row r="52" spans="1:13" ht="15">
      <c r="A52" s="86"/>
      <c r="B52" s="73"/>
      <c r="C52" s="73"/>
      <c r="D52" s="73"/>
      <c r="E52" s="73"/>
      <c r="F52" s="73"/>
      <c r="G52" s="73"/>
      <c r="H52" s="73"/>
      <c r="I52" s="73"/>
      <c r="J52" s="73"/>
      <c r="K52" s="73"/>
      <c r="L52" s="73"/>
      <c r="M52" s="73"/>
    </row>
    <row r="53" spans="1:13" ht="15">
      <c r="A53" s="86"/>
      <c r="B53" s="73"/>
      <c r="C53" s="73"/>
      <c r="D53" s="73"/>
      <c r="E53" s="73"/>
      <c r="F53" s="73"/>
      <c r="G53" s="73"/>
      <c r="H53" s="73"/>
      <c r="I53" s="73"/>
      <c r="J53" s="73"/>
      <c r="K53" s="73"/>
      <c r="L53" s="73"/>
      <c r="M53" s="73"/>
    </row>
    <row r="54" spans="1:13" ht="15">
      <c r="A54" s="86"/>
      <c r="B54" s="73"/>
      <c r="C54" s="73"/>
      <c r="D54" s="73"/>
      <c r="E54" s="73"/>
      <c r="F54" s="73"/>
      <c r="G54" s="73"/>
      <c r="H54" s="73"/>
      <c r="I54" s="73"/>
      <c r="J54" s="73"/>
      <c r="K54" s="73"/>
      <c r="L54" s="73"/>
      <c r="M54" s="73"/>
    </row>
    <row r="55" spans="1:13" ht="15">
      <c r="A55" s="86"/>
      <c r="B55" s="73"/>
      <c r="C55" s="73"/>
      <c r="D55" s="73"/>
      <c r="E55" s="73"/>
      <c r="F55" s="73"/>
      <c r="G55" s="73"/>
      <c r="H55" s="73"/>
      <c r="I55" s="73"/>
      <c r="J55" s="73"/>
      <c r="K55" s="73"/>
      <c r="L55" s="73"/>
      <c r="M55" s="73"/>
    </row>
    <row r="56" spans="1:13" ht="15">
      <c r="A56" s="86"/>
      <c r="B56" s="73"/>
      <c r="C56" s="73"/>
      <c r="D56" s="73"/>
      <c r="E56" s="73"/>
      <c r="F56" s="73"/>
      <c r="G56" s="73"/>
      <c r="H56" s="73"/>
      <c r="I56" s="73"/>
      <c r="J56" s="73"/>
      <c r="K56" s="73"/>
      <c r="L56" s="73"/>
      <c r="M56" s="73"/>
    </row>
    <row r="57" spans="1:13" ht="15">
      <c r="A57" s="86"/>
      <c r="B57" s="73"/>
      <c r="C57" s="73"/>
      <c r="D57" s="73"/>
      <c r="E57" s="73"/>
      <c r="F57" s="73"/>
      <c r="G57" s="73"/>
      <c r="H57" s="73"/>
      <c r="I57" s="73"/>
      <c r="J57" s="73"/>
      <c r="K57" s="73"/>
      <c r="L57" s="73"/>
      <c r="M57" s="73"/>
    </row>
    <row r="58" spans="1:13" ht="15">
      <c r="A58" s="86"/>
      <c r="B58" s="73"/>
      <c r="C58" s="73"/>
      <c r="D58" s="73"/>
      <c r="E58" s="73"/>
      <c r="F58" s="73"/>
      <c r="G58" s="73"/>
      <c r="H58" s="73"/>
      <c r="I58" s="73"/>
      <c r="J58" s="73"/>
      <c r="K58" s="73"/>
      <c r="L58" s="73"/>
      <c r="M58" s="73"/>
    </row>
    <row r="59" spans="1:13" ht="15">
      <c r="A59" s="86"/>
      <c r="B59" s="73"/>
      <c r="C59" s="73"/>
      <c r="D59" s="73"/>
      <c r="E59" s="73"/>
      <c r="F59" s="73"/>
      <c r="G59" s="73"/>
      <c r="H59" s="73"/>
      <c r="I59" s="73"/>
      <c r="J59" s="73"/>
      <c r="K59" s="73"/>
      <c r="L59" s="73"/>
      <c r="M59" s="73"/>
    </row>
    <row r="60" spans="1:13" ht="15">
      <c r="A60" s="86"/>
      <c r="B60" s="73"/>
      <c r="C60" s="73"/>
      <c r="D60" s="73"/>
      <c r="E60" s="73"/>
      <c r="F60" s="73"/>
      <c r="G60" s="73"/>
      <c r="H60" s="73"/>
      <c r="I60" s="73"/>
      <c r="J60" s="73"/>
      <c r="K60" s="73"/>
      <c r="L60" s="73"/>
      <c r="M60" s="73"/>
    </row>
    <row r="61" spans="1:13" ht="15">
      <c r="A61" s="86"/>
      <c r="B61" s="73"/>
      <c r="C61" s="73"/>
      <c r="D61" s="73"/>
      <c r="E61" s="73"/>
      <c r="F61" s="73"/>
      <c r="G61" s="73"/>
      <c r="H61" s="73"/>
      <c r="I61" s="73"/>
      <c r="J61" s="73"/>
      <c r="K61" s="73"/>
      <c r="L61" s="73"/>
      <c r="M61" s="73"/>
    </row>
    <row r="62" spans="1:13" ht="15">
      <c r="A62" s="86"/>
      <c r="B62" s="73"/>
      <c r="C62" s="73"/>
      <c r="D62" s="73"/>
      <c r="E62" s="73"/>
      <c r="F62" s="73"/>
      <c r="G62" s="73"/>
      <c r="H62" s="73"/>
      <c r="I62" s="73"/>
      <c r="J62" s="73"/>
      <c r="K62" s="73"/>
      <c r="L62" s="73"/>
      <c r="M62" s="73"/>
    </row>
    <row r="63" spans="1:13" ht="15">
      <c r="A63" s="86"/>
      <c r="B63" s="73"/>
      <c r="C63" s="73"/>
      <c r="D63" s="73"/>
      <c r="E63" s="73"/>
      <c r="F63" s="73"/>
      <c r="G63" s="73"/>
      <c r="H63" s="73"/>
      <c r="I63" s="73"/>
      <c r="J63" s="73"/>
      <c r="K63" s="73"/>
      <c r="L63" s="73"/>
      <c r="M63" s="73"/>
    </row>
  </sheetData>
  <sheetProtection/>
  <mergeCells count="50">
    <mergeCell ref="D4:J4"/>
    <mergeCell ref="K4:N4"/>
    <mergeCell ref="K5:N5"/>
    <mergeCell ref="D1:J1"/>
    <mergeCell ref="D2:J2"/>
    <mergeCell ref="D3:J3"/>
    <mergeCell ref="K1:N1"/>
    <mergeCell ref="K2:N2"/>
    <mergeCell ref="K3:N3"/>
    <mergeCell ref="B44:F44"/>
    <mergeCell ref="B45:F45"/>
    <mergeCell ref="A37:B37"/>
    <mergeCell ref="I37:J37"/>
    <mergeCell ref="A38:B38"/>
    <mergeCell ref="I38:J38"/>
    <mergeCell ref="I39:J39"/>
    <mergeCell ref="B41:F41"/>
    <mergeCell ref="A36:B36"/>
    <mergeCell ref="I36:J36"/>
    <mergeCell ref="B42:F42"/>
    <mergeCell ref="B43:F43"/>
    <mergeCell ref="I32:J32"/>
    <mergeCell ref="A34:B34"/>
    <mergeCell ref="I34:J34"/>
    <mergeCell ref="A35:B35"/>
    <mergeCell ref="I35:J35"/>
    <mergeCell ref="A30:B30"/>
    <mergeCell ref="I30:J30"/>
    <mergeCell ref="A31:B31"/>
    <mergeCell ref="I31:J31"/>
    <mergeCell ref="M28:N28"/>
    <mergeCell ref="O8:P8"/>
    <mergeCell ref="D6:N6"/>
    <mergeCell ref="N7:N9"/>
    <mergeCell ref="J7:J9"/>
    <mergeCell ref="K7:K9"/>
    <mergeCell ref="L7:L9"/>
    <mergeCell ref="M7:M9"/>
    <mergeCell ref="A10:B10"/>
    <mergeCell ref="H7:H9"/>
    <mergeCell ref="I7:I9"/>
    <mergeCell ref="F8:G8"/>
    <mergeCell ref="D7:D9"/>
    <mergeCell ref="E7:G7"/>
    <mergeCell ref="E8:E9"/>
    <mergeCell ref="A1:B1"/>
    <mergeCell ref="A2:C2"/>
    <mergeCell ref="A3:B3"/>
    <mergeCell ref="A6:B9"/>
    <mergeCell ref="C6:C9"/>
  </mergeCells>
  <printOptions/>
  <pageMargins left="0" right="0" top="0.2" bottom="0" header="0.5" footer="0.5"/>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indexed="51"/>
  </sheetPr>
  <dimension ref="A1:D39"/>
  <sheetViews>
    <sheetView zoomScale="90" zoomScaleNormal="90" zoomScalePageLayoutView="0" workbookViewId="0" topLeftCell="A1">
      <selection activeCell="B7" sqref="B7"/>
    </sheetView>
  </sheetViews>
  <sheetFormatPr defaultColWidth="9.00390625" defaultRowHeight="15.75"/>
  <cols>
    <col min="1" max="1" width="4.25390625" style="59" customWidth="1"/>
    <col min="2" max="2" width="68.75390625" style="59" customWidth="1"/>
    <col min="3" max="3" width="57.00390625" style="59" customWidth="1"/>
    <col min="4" max="4" width="16.00390625" style="59" customWidth="1"/>
    <col min="5" max="16384" width="9.00390625" style="59" customWidth="1"/>
  </cols>
  <sheetData>
    <row r="1" spans="1:3" s="1" customFormat="1" ht="33" customHeight="1">
      <c r="A1" s="1309" t="s">
        <v>162</v>
      </c>
      <c r="B1" s="846"/>
      <c r="C1" s="846"/>
    </row>
    <row r="2" spans="1:3" ht="17.25" customHeight="1">
      <c r="A2" s="1310" t="s">
        <v>59</v>
      </c>
      <c r="B2" s="1311"/>
      <c r="C2" s="57" t="s">
        <v>362</v>
      </c>
    </row>
    <row r="3" spans="1:3" s="70" customFormat="1" ht="11.25" customHeight="1">
      <c r="A3" s="1312" t="s">
        <v>5</v>
      </c>
      <c r="B3" s="1313"/>
      <c r="C3" s="69">
        <v>1</v>
      </c>
    </row>
    <row r="4" spans="1:4" ht="18" customHeight="1">
      <c r="A4" s="293" t="s">
        <v>37</v>
      </c>
      <c r="B4" s="294" t="s">
        <v>253</v>
      </c>
      <c r="C4" s="180">
        <f>2!C21</f>
        <v>88</v>
      </c>
      <c r="D4" s="212">
        <f>C5+C6+C7+C8+C9+C10+C11+C12-C4</f>
        <v>0</v>
      </c>
    </row>
    <row r="5" spans="1:4" s="7" customFormat="1" ht="15" customHeight="1">
      <c r="A5" s="295" t="s">
        <v>39</v>
      </c>
      <c r="B5" s="296" t="s">
        <v>137</v>
      </c>
      <c r="C5" s="297">
        <v>7</v>
      </c>
      <c r="D5" s="210"/>
    </row>
    <row r="6" spans="1:4" s="7" customFormat="1" ht="15" customHeight="1">
      <c r="A6" s="295" t="s">
        <v>40</v>
      </c>
      <c r="B6" s="296" t="s">
        <v>139</v>
      </c>
      <c r="C6" s="297">
        <v>22</v>
      </c>
      <c r="D6" s="210"/>
    </row>
    <row r="7" spans="1:4" s="7" customFormat="1" ht="15" customHeight="1">
      <c r="A7" s="295" t="s">
        <v>110</v>
      </c>
      <c r="B7" s="296" t="s">
        <v>149</v>
      </c>
      <c r="C7" s="297">
        <v>17</v>
      </c>
      <c r="D7" s="210"/>
    </row>
    <row r="8" spans="1:4" s="7" customFormat="1" ht="15" customHeight="1">
      <c r="A8" s="295" t="s">
        <v>112</v>
      </c>
      <c r="B8" s="296" t="s">
        <v>141</v>
      </c>
      <c r="C8" s="297">
        <v>38</v>
      </c>
      <c r="D8" s="210"/>
    </row>
    <row r="9" spans="1:4" s="7" customFormat="1" ht="15" customHeight="1">
      <c r="A9" s="295" t="s">
        <v>114</v>
      </c>
      <c r="B9" s="296" t="s">
        <v>125</v>
      </c>
      <c r="C9" s="297">
        <v>4</v>
      </c>
      <c r="D9" s="210"/>
    </row>
    <row r="10" spans="1:4" s="7" customFormat="1" ht="15" customHeight="1">
      <c r="A10" s="295" t="s">
        <v>116</v>
      </c>
      <c r="B10" s="296" t="s">
        <v>153</v>
      </c>
      <c r="C10" s="297">
        <v>0</v>
      </c>
      <c r="D10" s="210"/>
    </row>
    <row r="11" spans="1:4" s="7" customFormat="1" ht="15" customHeight="1">
      <c r="A11" s="295" t="s">
        <v>118</v>
      </c>
      <c r="B11" s="296" t="s">
        <v>127</v>
      </c>
      <c r="C11" s="297">
        <v>0</v>
      </c>
      <c r="D11" s="210"/>
    </row>
    <row r="12" spans="1:4" s="58" customFormat="1" ht="15" customHeight="1">
      <c r="A12" s="295" t="s">
        <v>154</v>
      </c>
      <c r="B12" s="296" t="s">
        <v>155</v>
      </c>
      <c r="C12" s="179">
        <v>0</v>
      </c>
      <c r="D12" s="211"/>
    </row>
    <row r="13" spans="1:4" s="58" customFormat="1" ht="17.25" customHeight="1">
      <c r="A13" s="293" t="s">
        <v>38</v>
      </c>
      <c r="B13" s="294" t="s">
        <v>251</v>
      </c>
      <c r="C13" s="180">
        <f>2!C22</f>
        <v>17</v>
      </c>
      <c r="D13" s="211">
        <f>C14+C15-C13</f>
        <v>0</v>
      </c>
    </row>
    <row r="14" spans="1:4" s="58" customFormat="1" ht="15" customHeight="1">
      <c r="A14" s="295" t="s">
        <v>41</v>
      </c>
      <c r="B14" s="296" t="s">
        <v>156</v>
      </c>
      <c r="C14" s="355">
        <v>12</v>
      </c>
      <c r="D14" s="211"/>
    </row>
    <row r="15" spans="1:4" s="58" customFormat="1" ht="15" customHeight="1">
      <c r="A15" s="295" t="s">
        <v>42</v>
      </c>
      <c r="B15" s="296" t="s">
        <v>129</v>
      </c>
      <c r="C15" s="355">
        <v>5</v>
      </c>
      <c r="D15" s="211"/>
    </row>
    <row r="16" spans="1:4" ht="16.5" customHeight="1">
      <c r="A16" s="293" t="s">
        <v>43</v>
      </c>
      <c r="B16" s="294" t="s">
        <v>119</v>
      </c>
      <c r="C16" s="180">
        <f>2!C24</f>
        <v>231</v>
      </c>
      <c r="D16" s="212">
        <f>C17+C18+C19-C16</f>
        <v>0</v>
      </c>
    </row>
    <row r="17" spans="1:4" s="7" customFormat="1" ht="15" customHeight="1">
      <c r="A17" s="295" t="s">
        <v>130</v>
      </c>
      <c r="B17" s="296" t="s">
        <v>157</v>
      </c>
      <c r="C17" s="297">
        <v>158</v>
      </c>
      <c r="D17" s="210"/>
    </row>
    <row r="18" spans="1:4" s="7" customFormat="1" ht="15" customHeight="1">
      <c r="A18" s="295" t="s">
        <v>132</v>
      </c>
      <c r="B18" s="296" t="s">
        <v>133</v>
      </c>
      <c r="C18" s="297">
        <f>22+20+3+0</f>
        <v>45</v>
      </c>
      <c r="D18" s="210"/>
    </row>
    <row r="19" spans="1:4" s="7" customFormat="1" ht="15" customHeight="1">
      <c r="A19" s="295" t="s">
        <v>134</v>
      </c>
      <c r="B19" s="296" t="s">
        <v>135</v>
      </c>
      <c r="C19" s="297">
        <v>28</v>
      </c>
      <c r="D19" s="210"/>
    </row>
    <row r="20" spans="1:4" s="7" customFormat="1" ht="17.25" customHeight="1">
      <c r="A20" s="298" t="s">
        <v>62</v>
      </c>
      <c r="B20" s="294" t="s">
        <v>252</v>
      </c>
      <c r="C20" s="180">
        <f>2!C19</f>
        <v>113</v>
      </c>
      <c r="D20" s="210">
        <f>C21+C22+C23+C24+C25+C26+C27-C20</f>
        <v>0</v>
      </c>
    </row>
    <row r="21" spans="1:4" s="7" customFormat="1" ht="15" customHeight="1">
      <c r="A21" s="295" t="s">
        <v>136</v>
      </c>
      <c r="B21" s="296" t="s">
        <v>137</v>
      </c>
      <c r="C21" s="297">
        <v>0</v>
      </c>
      <c r="D21" s="210"/>
    </row>
    <row r="22" spans="1:4" s="7" customFormat="1" ht="15" customHeight="1">
      <c r="A22" s="295" t="s">
        <v>138</v>
      </c>
      <c r="B22" s="296" t="s">
        <v>139</v>
      </c>
      <c r="C22" s="297">
        <v>0</v>
      </c>
      <c r="D22" s="210"/>
    </row>
    <row r="23" spans="1:4" s="7" customFormat="1" ht="15" customHeight="1">
      <c r="A23" s="295" t="s">
        <v>140</v>
      </c>
      <c r="B23" s="296" t="s">
        <v>158</v>
      </c>
      <c r="C23" s="297">
        <v>106</v>
      </c>
      <c r="D23" s="210"/>
    </row>
    <row r="24" spans="1:4" s="7" customFormat="1" ht="15" customHeight="1">
      <c r="A24" s="295" t="s">
        <v>142</v>
      </c>
      <c r="B24" s="296" t="s">
        <v>124</v>
      </c>
      <c r="C24" s="297">
        <v>0</v>
      </c>
      <c r="D24" s="210"/>
    </row>
    <row r="25" spans="1:4" s="7" customFormat="1" ht="15" customHeight="1">
      <c r="A25" s="295" t="s">
        <v>143</v>
      </c>
      <c r="B25" s="296" t="s">
        <v>159</v>
      </c>
      <c r="C25" s="297">
        <f>7+0</f>
        <v>7</v>
      </c>
      <c r="D25" s="210"/>
    </row>
    <row r="26" spans="1:4" s="7" customFormat="1" ht="15" customHeight="1">
      <c r="A26" s="295" t="s">
        <v>144</v>
      </c>
      <c r="B26" s="296" t="s">
        <v>127</v>
      </c>
      <c r="C26" s="297">
        <v>0</v>
      </c>
      <c r="D26" s="210"/>
    </row>
    <row r="27" spans="1:4" s="7" customFormat="1" ht="15" customHeight="1">
      <c r="A27" s="295" t="s">
        <v>160</v>
      </c>
      <c r="B27" s="296" t="s">
        <v>161</v>
      </c>
      <c r="C27" s="297">
        <v>0</v>
      </c>
      <c r="D27" s="210"/>
    </row>
    <row r="28" spans="1:4" s="7" customFormat="1" ht="16.5" customHeight="1">
      <c r="A28" s="293" t="s">
        <v>63</v>
      </c>
      <c r="B28" s="294" t="s">
        <v>254</v>
      </c>
      <c r="C28" s="180">
        <f>2!C25</f>
        <v>234</v>
      </c>
      <c r="D28" s="210">
        <f>C31+C30+C29-C28</f>
        <v>0</v>
      </c>
    </row>
    <row r="29" spans="1:4" ht="15" customHeight="1">
      <c r="A29" s="295" t="s">
        <v>146</v>
      </c>
      <c r="B29" s="296" t="s">
        <v>137</v>
      </c>
      <c r="C29" s="355">
        <v>228</v>
      </c>
      <c r="D29" s="212"/>
    </row>
    <row r="30" spans="1:4" s="7" customFormat="1" ht="15" customHeight="1">
      <c r="A30" s="295" t="s">
        <v>147</v>
      </c>
      <c r="B30" s="296" t="s">
        <v>139</v>
      </c>
      <c r="C30" s="297">
        <v>1</v>
      </c>
      <c r="D30" s="210"/>
    </row>
    <row r="31" spans="1:4" s="7" customFormat="1" ht="15" customHeight="1" thickBot="1">
      <c r="A31" s="319" t="s">
        <v>148</v>
      </c>
      <c r="B31" s="320" t="s">
        <v>158</v>
      </c>
      <c r="C31" s="321">
        <v>5</v>
      </c>
      <c r="D31" s="210"/>
    </row>
    <row r="32" spans="1:3" s="7" customFormat="1" ht="17.25" thickTop="1">
      <c r="A32" s="519"/>
      <c r="B32" s="520" t="str">
        <f>'Thông tin'!B7</f>
        <v>Bình Thuận, ngày 06 tháng 4 năm 2016</v>
      </c>
      <c r="C32" s="783" t="str">
        <f>B32</f>
        <v>Bình Thuận, ngày 06 tháng 4 năm 2016</v>
      </c>
    </row>
    <row r="33" spans="1:3" s="7" customFormat="1" ht="16.5">
      <c r="A33" s="518"/>
      <c r="B33" s="521" t="s">
        <v>587</v>
      </c>
      <c r="C33" s="518" t="s">
        <v>355</v>
      </c>
    </row>
    <row r="34" spans="1:3" s="7" customFormat="1" ht="16.5" customHeight="1">
      <c r="A34" s="518"/>
      <c r="B34" s="521"/>
      <c r="C34" s="518" t="s">
        <v>354</v>
      </c>
    </row>
    <row r="35" spans="1:3" s="7" customFormat="1" ht="16.5">
      <c r="A35" s="518"/>
      <c r="B35" s="521"/>
      <c r="C35" s="518"/>
    </row>
    <row r="36" spans="1:3" ht="11.25" customHeight="1">
      <c r="A36" s="522"/>
      <c r="B36" s="521"/>
      <c r="C36" s="496"/>
    </row>
    <row r="37" spans="1:3" ht="16.5">
      <c r="A37" s="1314" t="str">
        <f>'Thông tin'!B4</f>
        <v>Trần Quốc Bảo</v>
      </c>
      <c r="B37" s="1314"/>
      <c r="C37" s="496" t="str">
        <f>'Thông tin'!B5</f>
        <v>Trần Nam</v>
      </c>
    </row>
    <row r="38" spans="1:2" ht="15.75">
      <c r="A38" s="63"/>
      <c r="B38" s="63"/>
    </row>
    <row r="39" spans="1:2" ht="15.75">
      <c r="A39" s="63"/>
      <c r="B39" s="63"/>
    </row>
  </sheetData>
  <sheetProtection/>
  <mergeCells count="4">
    <mergeCell ref="A1:C1"/>
    <mergeCell ref="A2:B2"/>
    <mergeCell ref="A3:B3"/>
    <mergeCell ref="A37:B37"/>
  </mergeCells>
  <printOptions/>
  <pageMargins left="0" right="0" top="0" bottom="0" header="0.5" footer="0.2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51"/>
  </sheetPr>
  <dimension ref="A1:Q64"/>
  <sheetViews>
    <sheetView zoomScalePageLayoutView="0" workbookViewId="0" topLeftCell="A1">
      <selection activeCell="C11" sqref="C11:O25"/>
    </sheetView>
  </sheetViews>
  <sheetFormatPr defaultColWidth="9.00390625" defaultRowHeight="15.75"/>
  <cols>
    <col min="1" max="1" width="4.125" style="1" customWidth="1"/>
    <col min="2" max="2" width="22.625" style="36" customWidth="1"/>
    <col min="3" max="3" width="11.00390625" style="36" customWidth="1"/>
    <col min="4" max="4" width="9.125" style="36" customWidth="1"/>
    <col min="5" max="5" width="8.875" style="36" customWidth="1"/>
    <col min="6" max="6" width="7.625" style="36" customWidth="1"/>
    <col min="7" max="9" width="7.875" style="36" customWidth="1"/>
    <col min="10" max="10" width="8.00390625" style="36" customWidth="1"/>
    <col min="11" max="11" width="7.875" style="36" customWidth="1"/>
    <col min="12" max="12" width="7.75390625" style="36" customWidth="1"/>
    <col min="13" max="13" width="7.875" style="36" customWidth="1"/>
    <col min="14" max="14" width="8.00390625" style="36" customWidth="1"/>
    <col min="15" max="15" width="8.125" style="36" customWidth="1"/>
    <col min="16" max="16384" width="9.00390625" style="36" customWidth="1"/>
  </cols>
  <sheetData>
    <row r="1" spans="1:15" ht="21" customHeight="1">
      <c r="A1" s="1319" t="s">
        <v>20</v>
      </c>
      <c r="B1" s="1319"/>
      <c r="C1" s="258"/>
      <c r="D1" s="1314" t="s">
        <v>70</v>
      </c>
      <c r="E1" s="1314"/>
      <c r="F1" s="1314"/>
      <c r="G1" s="1314"/>
      <c r="H1" s="1314"/>
      <c r="I1" s="1314"/>
      <c r="J1" s="1314"/>
      <c r="K1" s="1314"/>
      <c r="L1" s="1318" t="s">
        <v>340</v>
      </c>
      <c r="M1" s="1319"/>
      <c r="N1" s="1319"/>
      <c r="O1" s="1319"/>
    </row>
    <row r="2" spans="1:17" ht="16.5" customHeight="1">
      <c r="A2" s="258" t="s">
        <v>247</v>
      </c>
      <c r="B2" s="258"/>
      <c r="C2" s="258"/>
      <c r="D2" s="1314" t="s">
        <v>151</v>
      </c>
      <c r="E2" s="1314"/>
      <c r="F2" s="1314"/>
      <c r="G2" s="1314"/>
      <c r="H2" s="1314"/>
      <c r="I2" s="1314"/>
      <c r="J2" s="1314"/>
      <c r="K2" s="1314"/>
      <c r="L2" s="850" t="str">
        <f>'Thông tin'!B3</f>
        <v>Cục THADS tỉnh Bình Thuận</v>
      </c>
      <c r="M2" s="850"/>
      <c r="N2" s="850"/>
      <c r="O2" s="850"/>
      <c r="Q2" s="37"/>
    </row>
    <row r="3" spans="1:17" ht="16.5" customHeight="1">
      <c r="A3" s="258" t="s">
        <v>248</v>
      </c>
      <c r="B3" s="258"/>
      <c r="C3" s="258"/>
      <c r="D3" s="1314" t="str">
        <f>'Thông tin'!B2</f>
        <v>6 tháng / năm 2016</v>
      </c>
      <c r="E3" s="1314"/>
      <c r="F3" s="1314"/>
      <c r="G3" s="1314"/>
      <c r="H3" s="1314"/>
      <c r="I3" s="1314"/>
      <c r="J3" s="1314"/>
      <c r="K3" s="1314"/>
      <c r="L3" s="1318" t="s">
        <v>341</v>
      </c>
      <c r="M3" s="1319"/>
      <c r="N3" s="1319"/>
      <c r="O3" s="1319"/>
      <c r="Q3" s="38"/>
    </row>
    <row r="4" spans="1:17" ht="16.5" customHeight="1">
      <c r="A4" s="260" t="s">
        <v>88</v>
      </c>
      <c r="B4" s="260"/>
      <c r="C4" s="261"/>
      <c r="D4" s="1003" t="s">
        <v>568</v>
      </c>
      <c r="E4" s="1003"/>
      <c r="F4" s="1003"/>
      <c r="G4" s="1003"/>
      <c r="H4" s="1003"/>
      <c r="I4" s="1003"/>
      <c r="J4" s="1003"/>
      <c r="K4" s="1003"/>
      <c r="L4" s="850" t="s">
        <v>348</v>
      </c>
      <c r="M4" s="850"/>
      <c r="N4" s="850"/>
      <c r="O4" s="850"/>
      <c r="Q4" s="38"/>
    </row>
    <row r="5" spans="1:17" ht="16.5" customHeight="1">
      <c r="A5" s="70"/>
      <c r="B5" s="261"/>
      <c r="C5" s="261"/>
      <c r="D5" s="261"/>
      <c r="E5" s="261"/>
      <c r="F5" s="262"/>
      <c r="G5" s="263"/>
      <c r="H5" s="263"/>
      <c r="I5" s="263"/>
      <c r="J5" s="262"/>
      <c r="K5" s="264"/>
      <c r="L5" s="1315" t="s">
        <v>8</v>
      </c>
      <c r="M5" s="1315"/>
      <c r="N5" s="1315"/>
      <c r="O5" s="1315"/>
      <c r="Q5" s="38"/>
    </row>
    <row r="6" spans="1:17" ht="18.75" customHeight="1">
      <c r="A6" s="1339" t="s">
        <v>58</v>
      </c>
      <c r="B6" s="1340"/>
      <c r="C6" s="1345" t="s">
        <v>27</v>
      </c>
      <c r="D6" s="1321" t="s">
        <v>238</v>
      </c>
      <c r="E6" s="1322"/>
      <c r="F6" s="1322"/>
      <c r="G6" s="1322"/>
      <c r="H6" s="1322"/>
      <c r="I6" s="1322"/>
      <c r="J6" s="1322"/>
      <c r="K6" s="1322"/>
      <c r="L6" s="1322"/>
      <c r="M6" s="1322"/>
      <c r="N6" s="1322"/>
      <c r="O6" s="1323"/>
      <c r="Q6" s="38"/>
    </row>
    <row r="7" spans="1:17" ht="20.25" customHeight="1">
      <c r="A7" s="1341"/>
      <c r="B7" s="1342"/>
      <c r="C7" s="1346"/>
      <c r="D7" s="1324" t="s">
        <v>89</v>
      </c>
      <c r="E7" s="1330" t="s">
        <v>90</v>
      </c>
      <c r="F7" s="1331"/>
      <c r="G7" s="1332"/>
      <c r="H7" s="1316" t="s">
        <v>91</v>
      </c>
      <c r="I7" s="1316" t="s">
        <v>92</v>
      </c>
      <c r="J7" s="1316" t="s">
        <v>93</v>
      </c>
      <c r="K7" s="1316" t="s">
        <v>94</v>
      </c>
      <c r="L7" s="1316" t="s">
        <v>95</v>
      </c>
      <c r="M7" s="1316" t="s">
        <v>96</v>
      </c>
      <c r="N7" s="1316" t="s">
        <v>152</v>
      </c>
      <c r="O7" s="1316" t="s">
        <v>97</v>
      </c>
      <c r="P7" s="38"/>
      <c r="Q7" s="38"/>
    </row>
    <row r="8" spans="1:17" ht="19.5" customHeight="1">
      <c r="A8" s="1341"/>
      <c r="B8" s="1342"/>
      <c r="C8" s="1346"/>
      <c r="D8" s="1325"/>
      <c r="E8" s="1327" t="s">
        <v>26</v>
      </c>
      <c r="F8" s="1333" t="s">
        <v>6</v>
      </c>
      <c r="G8" s="1334"/>
      <c r="H8" s="1316"/>
      <c r="I8" s="1316"/>
      <c r="J8" s="1316"/>
      <c r="K8" s="1316"/>
      <c r="L8" s="1316"/>
      <c r="M8" s="1316"/>
      <c r="N8" s="1316"/>
      <c r="O8" s="1316"/>
      <c r="P8" s="65"/>
      <c r="Q8" s="66"/>
    </row>
    <row r="9" spans="1:17" ht="39.75" customHeight="1">
      <c r="A9" s="1343"/>
      <c r="B9" s="1344"/>
      <c r="C9" s="1346"/>
      <c r="D9" s="1326"/>
      <c r="E9" s="1328"/>
      <c r="F9" s="237" t="s">
        <v>98</v>
      </c>
      <c r="G9" s="238" t="s">
        <v>99</v>
      </c>
      <c r="H9" s="1317"/>
      <c r="I9" s="1317"/>
      <c r="J9" s="1317"/>
      <c r="K9" s="1317"/>
      <c r="L9" s="1317"/>
      <c r="M9" s="1317"/>
      <c r="N9" s="1317"/>
      <c r="O9" s="1317"/>
      <c r="P9" s="40"/>
      <c r="Q9" s="40"/>
    </row>
    <row r="10" spans="1:17" s="42" customFormat="1" ht="13.5" customHeight="1">
      <c r="A10" s="1337" t="s">
        <v>28</v>
      </c>
      <c r="B10" s="1338"/>
      <c r="C10" s="265">
        <v>1</v>
      </c>
      <c r="D10" s="265">
        <v>2</v>
      </c>
      <c r="E10" s="265">
        <v>3</v>
      </c>
      <c r="F10" s="265">
        <v>4</v>
      </c>
      <c r="G10" s="265">
        <v>5</v>
      </c>
      <c r="H10" s="265">
        <v>6</v>
      </c>
      <c r="I10" s="265">
        <v>7</v>
      </c>
      <c r="J10" s="265">
        <v>8</v>
      </c>
      <c r="K10" s="265">
        <v>9</v>
      </c>
      <c r="L10" s="265">
        <v>10</v>
      </c>
      <c r="M10" s="265">
        <v>11</v>
      </c>
      <c r="N10" s="265">
        <v>12</v>
      </c>
      <c r="O10" s="265">
        <v>13</v>
      </c>
      <c r="P10" s="41"/>
      <c r="Q10" s="41"/>
    </row>
    <row r="11" spans="1:17" ht="22.5" customHeight="1">
      <c r="A11" s="169" t="s">
        <v>0</v>
      </c>
      <c r="B11" s="170" t="s">
        <v>100</v>
      </c>
      <c r="C11" s="180">
        <f>D11+F11+G11+H11+I11+J11+K11+L11+M11+N11+O11</f>
        <v>3790</v>
      </c>
      <c r="D11" s="180">
        <f aca="true" t="shared" si="0" ref="D11:O11">D12+D13</f>
        <v>2632</v>
      </c>
      <c r="E11" s="180">
        <f t="shared" si="0"/>
        <v>465</v>
      </c>
      <c r="F11" s="180">
        <f t="shared" si="0"/>
        <v>0</v>
      </c>
      <c r="G11" s="180">
        <f t="shared" si="0"/>
        <v>465</v>
      </c>
      <c r="H11" s="180">
        <f t="shared" si="0"/>
        <v>1</v>
      </c>
      <c r="I11" s="180">
        <f t="shared" si="0"/>
        <v>572</v>
      </c>
      <c r="J11" s="180">
        <f t="shared" si="0"/>
        <v>109</v>
      </c>
      <c r="K11" s="180">
        <f t="shared" si="0"/>
        <v>8</v>
      </c>
      <c r="L11" s="180">
        <f t="shared" si="0"/>
        <v>2</v>
      </c>
      <c r="M11" s="180">
        <f t="shared" si="0"/>
        <v>1</v>
      </c>
      <c r="N11" s="180">
        <f t="shared" si="0"/>
        <v>0</v>
      </c>
      <c r="O11" s="180">
        <f t="shared" si="0"/>
        <v>0</v>
      </c>
      <c r="P11" s="364">
        <f>P13+P12</f>
        <v>11080</v>
      </c>
      <c r="Q11" s="38"/>
    </row>
    <row r="12" spans="1:17" s="68" customFormat="1" ht="22.5" customHeight="1">
      <c r="A12" s="43">
        <v>1</v>
      </c>
      <c r="B12" s="168" t="s">
        <v>101</v>
      </c>
      <c r="C12" s="180">
        <f aca="true" t="shared" si="1" ref="C12:C25">D12+F12+G12+H12+I12+J12+K12+L12+M12+N12+O12</f>
        <v>2813</v>
      </c>
      <c r="D12" s="354">
        <f>96+504+272+386+71+201+54+234+59+88+30+0</f>
        <v>1995</v>
      </c>
      <c r="E12" s="180">
        <f>F12+G12</f>
        <v>301</v>
      </c>
      <c r="F12" s="354">
        <v>0</v>
      </c>
      <c r="G12" s="354">
        <f>43+78+19+30+14+12+7+81+4+10+3</f>
        <v>301</v>
      </c>
      <c r="H12" s="354">
        <v>0</v>
      </c>
      <c r="I12" s="354">
        <f>9+14+20+115+17+60+29+28+19+95+2</f>
        <v>408</v>
      </c>
      <c r="J12" s="354">
        <f>9+2+19+7+4+6+30+23+0</f>
        <v>100</v>
      </c>
      <c r="K12" s="354">
        <v>6</v>
      </c>
      <c r="L12" s="354">
        <v>2</v>
      </c>
      <c r="M12" s="354">
        <v>1</v>
      </c>
      <c r="N12" s="355">
        <v>0</v>
      </c>
      <c r="O12" s="355">
        <v>0</v>
      </c>
      <c r="P12" s="363">
        <f>C12+1!C12</f>
        <v>5872</v>
      </c>
      <c r="Q12" s="67"/>
    </row>
    <row r="13" spans="1:17" s="68" customFormat="1" ht="22.5" customHeight="1">
      <c r="A13" s="43">
        <v>2</v>
      </c>
      <c r="B13" s="168" t="s">
        <v>102</v>
      </c>
      <c r="C13" s="180">
        <f t="shared" si="1"/>
        <v>977</v>
      </c>
      <c r="D13" s="355">
        <f>4+65+89+127+30+71+105+46+51+73+2-26</f>
        <v>637</v>
      </c>
      <c r="E13" s="180">
        <f>F13+G13</f>
        <v>164</v>
      </c>
      <c r="F13" s="355">
        <v>0</v>
      </c>
      <c r="G13" s="355">
        <f>8+9+15+8+21+20+22+17+29+15</f>
        <v>164</v>
      </c>
      <c r="H13" s="355">
        <v>1</v>
      </c>
      <c r="I13" s="355">
        <f>35+14+8+12+36+4+38+8+4+5</f>
        <v>164</v>
      </c>
      <c r="J13" s="355">
        <v>9</v>
      </c>
      <c r="K13" s="355">
        <v>2</v>
      </c>
      <c r="L13" s="355">
        <v>0</v>
      </c>
      <c r="M13" s="355">
        <v>0</v>
      </c>
      <c r="N13" s="355">
        <v>0</v>
      </c>
      <c r="O13" s="355">
        <v>0</v>
      </c>
      <c r="P13" s="363">
        <f>C13+1!C13</f>
        <v>5208</v>
      </c>
      <c r="Q13" s="67"/>
    </row>
    <row r="14" spans="1:17" ht="22.5" customHeight="1">
      <c r="A14" s="174" t="s">
        <v>1</v>
      </c>
      <c r="B14" s="175" t="s">
        <v>103</v>
      </c>
      <c r="C14" s="180">
        <f t="shared" si="1"/>
        <v>24</v>
      </c>
      <c r="D14" s="356">
        <v>6</v>
      </c>
      <c r="E14" s="180">
        <f>F14+G14</f>
        <v>15</v>
      </c>
      <c r="F14" s="356">
        <v>0</v>
      </c>
      <c r="G14" s="356">
        <v>15</v>
      </c>
      <c r="H14" s="356">
        <v>0</v>
      </c>
      <c r="I14" s="356">
        <v>3</v>
      </c>
      <c r="J14" s="356">
        <v>0</v>
      </c>
      <c r="K14" s="356">
        <v>0</v>
      </c>
      <c r="L14" s="356">
        <v>0</v>
      </c>
      <c r="M14" s="356">
        <v>0</v>
      </c>
      <c r="N14" s="356">
        <v>0</v>
      </c>
      <c r="O14" s="356">
        <v>0</v>
      </c>
      <c r="P14" s="397">
        <f>C14+1!C14</f>
        <v>101</v>
      </c>
      <c r="Q14" s="38"/>
    </row>
    <row r="15" spans="1:17" ht="22.5" customHeight="1">
      <c r="A15" s="174" t="s">
        <v>9</v>
      </c>
      <c r="B15" s="175" t="s">
        <v>104</v>
      </c>
      <c r="C15" s="180">
        <f t="shared" si="1"/>
        <v>9</v>
      </c>
      <c r="D15" s="356">
        <v>2</v>
      </c>
      <c r="E15" s="180">
        <f>F15+G15</f>
        <v>0</v>
      </c>
      <c r="F15" s="356">
        <v>0</v>
      </c>
      <c r="G15" s="356">
        <v>0</v>
      </c>
      <c r="H15" s="356">
        <v>0</v>
      </c>
      <c r="I15" s="356">
        <v>0</v>
      </c>
      <c r="J15" s="356">
        <v>7</v>
      </c>
      <c r="K15" s="356">
        <v>0</v>
      </c>
      <c r="L15" s="356">
        <v>0</v>
      </c>
      <c r="M15" s="356">
        <v>0</v>
      </c>
      <c r="N15" s="356">
        <v>0</v>
      </c>
      <c r="O15" s="356">
        <v>0</v>
      </c>
      <c r="P15" s="361">
        <f>C15+1!C15</f>
        <v>11</v>
      </c>
      <c r="Q15" s="38"/>
    </row>
    <row r="16" spans="1:16" ht="21.75" customHeight="1">
      <c r="A16" s="171" t="s">
        <v>105</v>
      </c>
      <c r="B16" s="172" t="s">
        <v>106</v>
      </c>
      <c r="C16" s="180">
        <f>C17+C25</f>
        <v>3766</v>
      </c>
      <c r="D16" s="180">
        <f aca="true" t="shared" si="2" ref="D16:O16">D17+D25</f>
        <v>2626</v>
      </c>
      <c r="E16" s="180">
        <f>F16+G16</f>
        <v>450</v>
      </c>
      <c r="F16" s="180">
        <f t="shared" si="2"/>
        <v>0</v>
      </c>
      <c r="G16" s="180">
        <f t="shared" si="2"/>
        <v>450</v>
      </c>
      <c r="H16" s="180">
        <f t="shared" si="2"/>
        <v>1</v>
      </c>
      <c r="I16" s="180">
        <f t="shared" si="2"/>
        <v>569</v>
      </c>
      <c r="J16" s="180">
        <f t="shared" si="2"/>
        <v>109</v>
      </c>
      <c r="K16" s="180">
        <f t="shared" si="2"/>
        <v>8</v>
      </c>
      <c r="L16" s="180">
        <f t="shared" si="2"/>
        <v>2</v>
      </c>
      <c r="M16" s="180">
        <f t="shared" si="2"/>
        <v>1</v>
      </c>
      <c r="N16" s="180">
        <f t="shared" si="2"/>
        <v>0</v>
      </c>
      <c r="O16" s="180">
        <f t="shared" si="2"/>
        <v>0</v>
      </c>
      <c r="P16" s="360">
        <f>P17+P25</f>
        <v>10979</v>
      </c>
    </row>
    <row r="17" spans="1:16" ht="21.75" customHeight="1">
      <c r="A17" s="171" t="s">
        <v>37</v>
      </c>
      <c r="B17" s="173" t="s">
        <v>107</v>
      </c>
      <c r="C17" s="180">
        <f t="shared" si="1"/>
        <v>3532</v>
      </c>
      <c r="D17" s="178">
        <f>D18+D19+D20+D21+D22+D23+D24</f>
        <v>2482</v>
      </c>
      <c r="E17" s="180">
        <f aca="true" t="shared" si="3" ref="E17:E25">F17+G17</f>
        <v>394</v>
      </c>
      <c r="F17" s="178">
        <f>F18+F19+F20+F21+F22+F23+F24</f>
        <v>0</v>
      </c>
      <c r="G17" s="178">
        <f aca="true" t="shared" si="4" ref="G17:O17">G18+G19+G20+G21+G22+G23+G24</f>
        <v>394</v>
      </c>
      <c r="H17" s="178">
        <f t="shared" si="4"/>
        <v>1</v>
      </c>
      <c r="I17" s="178">
        <f t="shared" si="4"/>
        <v>539</v>
      </c>
      <c r="J17" s="178">
        <f t="shared" si="4"/>
        <v>105</v>
      </c>
      <c r="K17" s="178">
        <f t="shared" si="4"/>
        <v>8</v>
      </c>
      <c r="L17" s="178">
        <f t="shared" si="4"/>
        <v>2</v>
      </c>
      <c r="M17" s="178">
        <f t="shared" si="4"/>
        <v>1</v>
      </c>
      <c r="N17" s="178">
        <f t="shared" si="4"/>
        <v>0</v>
      </c>
      <c r="O17" s="178">
        <f t="shared" si="4"/>
        <v>0</v>
      </c>
      <c r="P17" s="360">
        <f>P18+P19+P20+P21+P22+P23+P24</f>
        <v>9439</v>
      </c>
    </row>
    <row r="18" spans="1:16" ht="22.5" customHeight="1">
      <c r="A18" s="43" t="s">
        <v>39</v>
      </c>
      <c r="B18" s="168" t="s">
        <v>108</v>
      </c>
      <c r="C18" s="180">
        <f t="shared" si="1"/>
        <v>255</v>
      </c>
      <c r="D18" s="357">
        <f>3+16+6+7+22+16+10+64+2+13+11</f>
        <v>170</v>
      </c>
      <c r="E18" s="180">
        <f t="shared" si="3"/>
        <v>54</v>
      </c>
      <c r="F18" s="357">
        <v>0</v>
      </c>
      <c r="G18" s="357">
        <f>5+7+8+12+14+2+4+1+1+0</f>
        <v>54</v>
      </c>
      <c r="H18" s="357">
        <v>0</v>
      </c>
      <c r="I18" s="357">
        <f>3+1+5+10+3+1+2+2+0</f>
        <v>27</v>
      </c>
      <c r="J18" s="357">
        <v>4</v>
      </c>
      <c r="K18" s="357">
        <v>0</v>
      </c>
      <c r="L18" s="357">
        <v>0</v>
      </c>
      <c r="M18" s="357">
        <v>0</v>
      </c>
      <c r="N18" s="357">
        <v>0</v>
      </c>
      <c r="O18" s="357">
        <v>0</v>
      </c>
      <c r="P18" s="362">
        <f>C18+1!C18</f>
        <v>3811</v>
      </c>
    </row>
    <row r="19" spans="1:16" ht="19.5" customHeight="1">
      <c r="A19" s="43" t="s">
        <v>40</v>
      </c>
      <c r="B19" s="168" t="s">
        <v>109</v>
      </c>
      <c r="C19" s="180">
        <f t="shared" si="1"/>
        <v>113</v>
      </c>
      <c r="D19" s="357">
        <f>7+28+15+18+2+4+2+4+2+1</f>
        <v>83</v>
      </c>
      <c r="E19" s="180">
        <f t="shared" si="3"/>
        <v>5</v>
      </c>
      <c r="F19" s="357">
        <v>0</v>
      </c>
      <c r="G19" s="357">
        <v>5</v>
      </c>
      <c r="H19" s="357">
        <v>0</v>
      </c>
      <c r="I19" s="357">
        <v>25</v>
      </c>
      <c r="J19" s="357">
        <v>0</v>
      </c>
      <c r="K19" s="357">
        <v>0</v>
      </c>
      <c r="L19" s="357">
        <v>0</v>
      </c>
      <c r="M19" s="357">
        <v>0</v>
      </c>
      <c r="N19" s="357">
        <v>0</v>
      </c>
      <c r="O19" s="357">
        <v>0</v>
      </c>
      <c r="P19" s="362">
        <f>C19+1!C19</f>
        <v>156</v>
      </c>
    </row>
    <row r="20" spans="1:16" ht="20.25" customHeight="1">
      <c r="A20" s="43" t="s">
        <v>110</v>
      </c>
      <c r="B20" s="168" t="s">
        <v>111</v>
      </c>
      <c r="C20" s="180">
        <f t="shared" si="1"/>
        <v>2828</v>
      </c>
      <c r="D20" s="357">
        <f>28+132+94+257+119+237+81+356+148+437+72-25</f>
        <v>1936</v>
      </c>
      <c r="E20" s="180">
        <f t="shared" si="3"/>
        <v>323</v>
      </c>
      <c r="F20" s="357">
        <v>0</v>
      </c>
      <c r="G20" s="357">
        <f>3+12+6+89+9+15+14+33+27+73+42</f>
        <v>323</v>
      </c>
      <c r="H20" s="357">
        <v>0</v>
      </c>
      <c r="I20" s="357">
        <f>2+108+23+32+31+76+19+138+22+13+10</f>
        <v>474</v>
      </c>
      <c r="J20" s="357">
        <v>86</v>
      </c>
      <c r="K20" s="357">
        <v>8</v>
      </c>
      <c r="L20" s="357">
        <v>0</v>
      </c>
      <c r="M20" s="357">
        <v>1</v>
      </c>
      <c r="N20" s="357">
        <v>0</v>
      </c>
      <c r="O20" s="357">
        <v>0</v>
      </c>
      <c r="P20" s="359">
        <f>C20+1!C20</f>
        <v>4914</v>
      </c>
    </row>
    <row r="21" spans="1:16" ht="21" customHeight="1">
      <c r="A21" s="43" t="s">
        <v>112</v>
      </c>
      <c r="B21" s="168" t="s">
        <v>113</v>
      </c>
      <c r="C21" s="180">
        <f t="shared" si="1"/>
        <v>88</v>
      </c>
      <c r="D21" s="355">
        <f>4+23+4+30+3+3+4+1+1+5+1+0</f>
        <v>79</v>
      </c>
      <c r="E21" s="180">
        <f t="shared" si="3"/>
        <v>2</v>
      </c>
      <c r="F21" s="355">
        <v>0</v>
      </c>
      <c r="G21" s="355">
        <v>2</v>
      </c>
      <c r="H21" s="355">
        <v>0</v>
      </c>
      <c r="I21" s="355">
        <v>5</v>
      </c>
      <c r="J21" s="355">
        <v>2</v>
      </c>
      <c r="K21" s="355">
        <v>0</v>
      </c>
      <c r="L21" s="355">
        <v>0</v>
      </c>
      <c r="M21" s="357">
        <v>0</v>
      </c>
      <c r="N21" s="357">
        <v>0</v>
      </c>
      <c r="O21" s="357">
        <v>0</v>
      </c>
      <c r="P21" s="362">
        <f>C21+1!C21</f>
        <v>141</v>
      </c>
    </row>
    <row r="22" spans="1:16" ht="22.5" customHeight="1">
      <c r="A22" s="43" t="s">
        <v>114</v>
      </c>
      <c r="B22" s="168" t="s">
        <v>115</v>
      </c>
      <c r="C22" s="180">
        <f t="shared" si="1"/>
        <v>17</v>
      </c>
      <c r="D22" s="357">
        <v>13</v>
      </c>
      <c r="E22" s="180">
        <f t="shared" si="3"/>
        <v>0</v>
      </c>
      <c r="F22" s="357">
        <v>0</v>
      </c>
      <c r="G22" s="357">
        <v>0</v>
      </c>
      <c r="H22" s="357">
        <v>1</v>
      </c>
      <c r="I22" s="357">
        <v>2</v>
      </c>
      <c r="J22" s="357">
        <v>1</v>
      </c>
      <c r="K22" s="357">
        <v>0</v>
      </c>
      <c r="L22" s="357">
        <v>0</v>
      </c>
      <c r="M22" s="357">
        <v>0</v>
      </c>
      <c r="N22" s="357">
        <v>0</v>
      </c>
      <c r="O22" s="357">
        <v>0</v>
      </c>
      <c r="P22" s="362">
        <f>C22+1!C22</f>
        <v>27</v>
      </c>
    </row>
    <row r="23" spans="1:16" ht="25.5">
      <c r="A23" s="43" t="s">
        <v>116</v>
      </c>
      <c r="B23" s="55" t="s">
        <v>117</v>
      </c>
      <c r="C23" s="180">
        <f t="shared" si="1"/>
        <v>0</v>
      </c>
      <c r="D23" s="357">
        <v>0</v>
      </c>
      <c r="E23" s="180">
        <f t="shared" si="3"/>
        <v>0</v>
      </c>
      <c r="F23" s="357">
        <v>0</v>
      </c>
      <c r="G23" s="357">
        <v>0</v>
      </c>
      <c r="H23" s="357">
        <v>0</v>
      </c>
      <c r="I23" s="357">
        <v>0</v>
      </c>
      <c r="J23" s="357">
        <v>0</v>
      </c>
      <c r="K23" s="357">
        <v>0</v>
      </c>
      <c r="L23" s="357">
        <v>0</v>
      </c>
      <c r="M23" s="357">
        <v>0</v>
      </c>
      <c r="N23" s="357">
        <v>0</v>
      </c>
      <c r="O23" s="357">
        <v>0</v>
      </c>
      <c r="P23" s="359">
        <f>C23+1!C23</f>
        <v>0</v>
      </c>
    </row>
    <row r="24" spans="1:16" ht="23.25" customHeight="1">
      <c r="A24" s="43" t="s">
        <v>118</v>
      </c>
      <c r="B24" s="168" t="s">
        <v>119</v>
      </c>
      <c r="C24" s="180">
        <f t="shared" si="1"/>
        <v>231</v>
      </c>
      <c r="D24" s="355">
        <f>169+32</f>
        <v>201</v>
      </c>
      <c r="E24" s="180">
        <f t="shared" si="3"/>
        <v>10</v>
      </c>
      <c r="F24" s="355">
        <v>0</v>
      </c>
      <c r="G24" s="355">
        <v>10</v>
      </c>
      <c r="H24" s="355">
        <v>0</v>
      </c>
      <c r="I24" s="355">
        <v>6</v>
      </c>
      <c r="J24" s="355">
        <v>12</v>
      </c>
      <c r="K24" s="355">
        <v>0</v>
      </c>
      <c r="L24" s="355">
        <v>2</v>
      </c>
      <c r="M24" s="357">
        <v>0</v>
      </c>
      <c r="N24" s="357">
        <v>0</v>
      </c>
      <c r="O24" s="357">
        <v>0</v>
      </c>
      <c r="P24" s="362">
        <f>C24+1!C24</f>
        <v>390</v>
      </c>
    </row>
    <row r="25" spans="1:16" ht="23.25" customHeight="1">
      <c r="A25" s="171" t="s">
        <v>38</v>
      </c>
      <c r="B25" s="172" t="s">
        <v>120</v>
      </c>
      <c r="C25" s="180">
        <f t="shared" si="1"/>
        <v>234</v>
      </c>
      <c r="D25" s="180">
        <f>77+38+25+3+1</f>
        <v>144</v>
      </c>
      <c r="E25" s="180">
        <f t="shared" si="3"/>
        <v>56</v>
      </c>
      <c r="F25" s="180">
        <v>0</v>
      </c>
      <c r="G25" s="180">
        <v>56</v>
      </c>
      <c r="H25" s="180">
        <v>0</v>
      </c>
      <c r="I25" s="180">
        <v>30</v>
      </c>
      <c r="J25" s="180">
        <v>4</v>
      </c>
      <c r="K25" s="180">
        <v>0</v>
      </c>
      <c r="L25" s="180">
        <v>0</v>
      </c>
      <c r="M25" s="180">
        <v>0</v>
      </c>
      <c r="N25" s="190">
        <v>0</v>
      </c>
      <c r="O25" s="190">
        <v>0</v>
      </c>
      <c r="P25" s="360">
        <f>C25+1!C25</f>
        <v>1540</v>
      </c>
    </row>
    <row r="26" spans="1:17" ht="27" customHeight="1" thickBot="1">
      <c r="A26" s="327" t="s">
        <v>43</v>
      </c>
      <c r="B26" s="328" t="s">
        <v>121</v>
      </c>
      <c r="C26" s="353">
        <f>(C18+C19)/C17*100</f>
        <v>10.419026047565119</v>
      </c>
      <c r="D26" s="353">
        <f aca="true" t="shared" si="5" ref="D26:O26">(D18+D19)/D17*100</f>
        <v>10.193392425463337</v>
      </c>
      <c r="E26" s="353">
        <f t="shared" si="5"/>
        <v>14.974619289340103</v>
      </c>
      <c r="F26" s="353" t="e">
        <f t="shared" si="5"/>
        <v>#DIV/0!</v>
      </c>
      <c r="G26" s="353">
        <f t="shared" si="5"/>
        <v>14.974619289340103</v>
      </c>
      <c r="H26" s="353">
        <f t="shared" si="5"/>
        <v>0</v>
      </c>
      <c r="I26" s="353">
        <f t="shared" si="5"/>
        <v>9.647495361781075</v>
      </c>
      <c r="J26" s="353">
        <f t="shared" si="5"/>
        <v>3.8095238095238098</v>
      </c>
      <c r="K26" s="353">
        <f t="shared" si="5"/>
        <v>0</v>
      </c>
      <c r="L26" s="353">
        <f t="shared" si="5"/>
        <v>0</v>
      </c>
      <c r="M26" s="353">
        <f t="shared" si="5"/>
        <v>0</v>
      </c>
      <c r="N26" s="353" t="e">
        <f t="shared" si="5"/>
        <v>#DIV/0!</v>
      </c>
      <c r="O26" s="353" t="e">
        <f t="shared" si="5"/>
        <v>#DIV/0!</v>
      </c>
      <c r="P26" s="38"/>
      <c r="Q26" s="38"/>
    </row>
    <row r="27" spans="1:17" s="49" customFormat="1" ht="15.75" customHeight="1" thickTop="1">
      <c r="A27" s="266"/>
      <c r="B27" s="267"/>
      <c r="C27" s="260"/>
      <c r="D27" s="260"/>
      <c r="E27" s="260"/>
      <c r="F27" s="260"/>
      <c r="G27" s="260"/>
      <c r="H27" s="260"/>
      <c r="I27" s="260"/>
      <c r="J27" s="260"/>
      <c r="K27" s="260"/>
      <c r="L27" s="260"/>
      <c r="M27" s="260"/>
      <c r="N27" s="1348" t="s">
        <v>7</v>
      </c>
      <c r="O27" s="1348"/>
      <c r="P27" s="154"/>
      <c r="Q27" s="154"/>
    </row>
    <row r="28" spans="1:13" s="49" customFormat="1" ht="17.25" customHeight="1" hidden="1">
      <c r="A28" s="51"/>
      <c r="B28" s="39" t="s">
        <v>48</v>
      </c>
      <c r="C28" s="52"/>
      <c r="D28" s="52"/>
      <c r="E28" s="52"/>
      <c r="F28" s="53"/>
      <c r="G28" s="54"/>
      <c r="H28" s="54"/>
      <c r="J28" s="1329"/>
      <c r="K28" s="1329"/>
      <c r="L28" s="1329"/>
      <c r="M28" s="1329"/>
    </row>
    <row r="29" spans="1:15" s="38" customFormat="1" ht="21.75" customHeight="1" hidden="1">
      <c r="A29" s="129"/>
      <c r="B29" s="39" t="s">
        <v>49</v>
      </c>
      <c r="C29" s="39"/>
      <c r="D29" s="39"/>
      <c r="E29" s="39"/>
      <c r="F29" s="39"/>
      <c r="G29" s="39"/>
      <c r="H29" s="39"/>
      <c r="I29" s="1320"/>
      <c r="J29" s="1320"/>
      <c r="K29" s="1320"/>
      <c r="L29" s="1320"/>
      <c r="M29" s="1320"/>
      <c r="N29" s="54"/>
      <c r="O29" s="54"/>
    </row>
    <row r="30" spans="1:15" s="38" customFormat="1" ht="21.75" customHeight="1">
      <c r="A30" s="129"/>
      <c r="B30" s="39"/>
      <c r="C30" s="358">
        <f>C25+C17+C14-C11</f>
        <v>0</v>
      </c>
      <c r="D30" s="588">
        <f aca="true" t="shared" si="6" ref="D30:O30">D25+D17+D14-D11</f>
        <v>0</v>
      </c>
      <c r="E30" s="358">
        <f t="shared" si="6"/>
        <v>0</v>
      </c>
      <c r="F30" s="358">
        <f t="shared" si="6"/>
        <v>0</v>
      </c>
      <c r="G30" s="358">
        <f t="shared" si="6"/>
        <v>0</v>
      </c>
      <c r="H30" s="358">
        <f t="shared" si="6"/>
        <v>0</v>
      </c>
      <c r="I30" s="358">
        <f t="shared" si="6"/>
        <v>0</v>
      </c>
      <c r="J30" s="358">
        <f t="shared" si="6"/>
        <v>0</v>
      </c>
      <c r="K30" s="358">
        <f t="shared" si="6"/>
        <v>0</v>
      </c>
      <c r="L30" s="358">
        <f t="shared" si="6"/>
        <v>0</v>
      </c>
      <c r="M30" s="358">
        <f t="shared" si="6"/>
        <v>0</v>
      </c>
      <c r="N30" s="358">
        <f t="shared" si="6"/>
        <v>0</v>
      </c>
      <c r="O30" s="358">
        <f t="shared" si="6"/>
        <v>0</v>
      </c>
    </row>
    <row r="31" spans="1:10" s="38" customFormat="1" ht="21.75" customHeight="1">
      <c r="A31" s="1335"/>
      <c r="B31" s="1335"/>
      <c r="C31" s="45"/>
      <c r="D31" s="45"/>
      <c r="E31" s="45"/>
      <c r="I31" s="46"/>
      <c r="J31" s="46"/>
    </row>
    <row r="32" spans="1:10" s="38" customFormat="1" ht="21.75" customHeight="1">
      <c r="A32" s="1335"/>
      <c r="B32" s="1335"/>
      <c r="C32" s="45"/>
      <c r="D32" s="45"/>
      <c r="E32" s="45"/>
      <c r="F32" s="38" t="s">
        <v>3</v>
      </c>
      <c r="I32" s="1349"/>
      <c r="J32" s="1349"/>
    </row>
    <row r="33" spans="1:10" s="38" customFormat="1" ht="21.75" customHeight="1">
      <c r="A33" s="9"/>
      <c r="B33" s="41"/>
      <c r="C33" s="45"/>
      <c r="D33" s="45" t="s">
        <v>3</v>
      </c>
      <c r="E33" s="45"/>
      <c r="I33" s="1335"/>
      <c r="J33" s="1335"/>
    </row>
    <row r="34" s="38" customFormat="1" ht="19.5" customHeight="1">
      <c r="A34" s="6"/>
    </row>
    <row r="35" spans="1:13" ht="24" customHeight="1">
      <c r="A35" s="1336"/>
      <c r="B35" s="1336"/>
      <c r="C35" s="38"/>
      <c r="D35" s="38"/>
      <c r="E35" s="38"/>
      <c r="F35" s="38"/>
      <c r="G35" s="38"/>
      <c r="H35" s="38"/>
      <c r="I35" s="1336"/>
      <c r="J35" s="1336"/>
      <c r="K35" s="38"/>
      <c r="L35" s="38"/>
      <c r="M35" s="38"/>
    </row>
    <row r="36" spans="1:13" ht="17.25" customHeight="1">
      <c r="A36" s="1347"/>
      <c r="B36" s="1347"/>
      <c r="C36" s="38"/>
      <c r="D36" s="38"/>
      <c r="E36" s="38"/>
      <c r="F36" s="38"/>
      <c r="G36" s="38"/>
      <c r="H36" s="38"/>
      <c r="I36" s="1347"/>
      <c r="J36" s="1347"/>
      <c r="K36" s="38"/>
      <c r="L36" s="38"/>
      <c r="M36" s="38"/>
    </row>
    <row r="37" spans="1:13" ht="17.25" customHeight="1">
      <c r="A37" s="1347"/>
      <c r="B37" s="1347"/>
      <c r="C37" s="38"/>
      <c r="D37" s="38"/>
      <c r="E37" s="38"/>
      <c r="F37" s="38"/>
      <c r="G37" s="38"/>
      <c r="H37" s="38"/>
      <c r="I37" s="1347"/>
      <c r="J37" s="1347"/>
      <c r="K37" s="38"/>
      <c r="L37" s="38"/>
      <c r="M37" s="38"/>
    </row>
    <row r="38" spans="1:13" ht="17.25" customHeight="1">
      <c r="A38" s="1347"/>
      <c r="B38" s="1347"/>
      <c r="C38" s="38"/>
      <c r="D38" s="38"/>
      <c r="E38" s="38"/>
      <c r="F38" s="38"/>
      <c r="G38" s="38"/>
      <c r="H38" s="38"/>
      <c r="I38" s="1347"/>
      <c r="J38" s="1347"/>
      <c r="K38" s="38"/>
      <c r="L38" s="38"/>
      <c r="M38" s="38"/>
    </row>
    <row r="39" spans="1:13" ht="17.25" customHeight="1">
      <c r="A39" s="1347"/>
      <c r="B39" s="1347"/>
      <c r="C39" s="38"/>
      <c r="D39" s="38"/>
      <c r="E39" s="38"/>
      <c r="F39" s="38"/>
      <c r="G39" s="38"/>
      <c r="H39" s="38"/>
      <c r="I39" s="1347"/>
      <c r="J39" s="1347"/>
      <c r="K39" s="38"/>
      <c r="L39" s="38"/>
      <c r="M39" s="38"/>
    </row>
    <row r="40" spans="1:13" ht="15">
      <c r="A40" s="6"/>
      <c r="B40" s="38"/>
      <c r="C40" s="38"/>
      <c r="D40" s="38"/>
      <c r="E40" s="38"/>
      <c r="F40" s="38"/>
      <c r="G40" s="38"/>
      <c r="H40" s="38"/>
      <c r="I40" s="1347"/>
      <c r="J40" s="1347"/>
      <c r="K40" s="38"/>
      <c r="L40" s="38"/>
      <c r="M40" s="38"/>
    </row>
    <row r="41" spans="1:13" ht="15">
      <c r="A41" s="6"/>
      <c r="B41" s="38"/>
      <c r="C41" s="38"/>
      <c r="D41" s="38"/>
      <c r="E41" s="38"/>
      <c r="F41" s="38"/>
      <c r="G41" s="38"/>
      <c r="H41" s="38"/>
      <c r="I41" s="40"/>
      <c r="J41" s="40"/>
      <c r="K41" s="38"/>
      <c r="L41" s="38"/>
      <c r="M41" s="38"/>
    </row>
    <row r="42" spans="1:13" ht="17.25">
      <c r="A42" s="6"/>
      <c r="B42" s="1336"/>
      <c r="C42" s="1336"/>
      <c r="D42" s="1336"/>
      <c r="E42" s="1336"/>
      <c r="F42" s="1336"/>
      <c r="G42" s="47"/>
      <c r="H42" s="47"/>
      <c r="I42" s="38"/>
      <c r="J42" s="38"/>
      <c r="K42" s="38"/>
      <c r="L42" s="38"/>
      <c r="M42" s="38"/>
    </row>
    <row r="43" spans="1:13" ht="15.75">
      <c r="A43" s="6"/>
      <c r="B43" s="1347"/>
      <c r="C43" s="1347"/>
      <c r="D43" s="1347"/>
      <c r="E43" s="1347"/>
      <c r="F43" s="1347"/>
      <c r="G43" s="40"/>
      <c r="H43" s="40"/>
      <c r="I43" s="38"/>
      <c r="J43" s="38"/>
      <c r="K43" s="48"/>
      <c r="L43" s="48"/>
      <c r="M43" s="48"/>
    </row>
    <row r="44" spans="1:13" ht="15">
      <c r="A44" s="6"/>
      <c r="B44" s="1347"/>
      <c r="C44" s="1347"/>
      <c r="D44" s="1347"/>
      <c r="E44" s="1347"/>
      <c r="F44" s="1347"/>
      <c r="G44" s="40"/>
      <c r="H44" s="40"/>
      <c r="I44" s="38"/>
      <c r="J44" s="38"/>
      <c r="K44" s="38"/>
      <c r="L44" s="38"/>
      <c r="M44" s="38"/>
    </row>
    <row r="45" spans="1:13" ht="15">
      <c r="A45" s="6"/>
      <c r="B45" s="1347"/>
      <c r="C45" s="1347"/>
      <c r="D45" s="1347"/>
      <c r="E45" s="1347"/>
      <c r="F45" s="1347"/>
      <c r="G45" s="40"/>
      <c r="H45" s="40"/>
      <c r="I45" s="38"/>
      <c r="J45" s="38"/>
      <c r="K45" s="38"/>
      <c r="L45" s="38"/>
      <c r="M45" s="38"/>
    </row>
    <row r="46" spans="1:13" ht="15">
      <c r="A46" s="6"/>
      <c r="B46" s="1347"/>
      <c r="C46" s="1347"/>
      <c r="D46" s="1347"/>
      <c r="E46" s="1347"/>
      <c r="F46" s="1347"/>
      <c r="G46" s="40"/>
      <c r="H46" s="40"/>
      <c r="I46" s="38"/>
      <c r="J46" s="38"/>
      <c r="K46" s="38"/>
      <c r="L46" s="38"/>
      <c r="M46" s="38"/>
    </row>
    <row r="47" spans="1:13" ht="15">
      <c r="A47" s="6"/>
      <c r="B47" s="38"/>
      <c r="C47" s="38"/>
      <c r="D47" s="38"/>
      <c r="E47" s="38"/>
      <c r="F47" s="38"/>
      <c r="G47" s="38"/>
      <c r="H47" s="38"/>
      <c r="I47" s="38"/>
      <c r="J47" s="38"/>
      <c r="K47" s="38"/>
      <c r="L47" s="38"/>
      <c r="M47" s="38"/>
    </row>
    <row r="48" spans="1:13" ht="15.75">
      <c r="A48" s="6"/>
      <c r="B48" s="54"/>
      <c r="C48" s="38"/>
      <c r="D48" s="38"/>
      <c r="E48" s="38"/>
      <c r="F48" s="38"/>
      <c r="G48" s="38"/>
      <c r="H48" s="38"/>
      <c r="I48" s="38"/>
      <c r="J48" s="38"/>
      <c r="K48" s="38"/>
      <c r="L48" s="38"/>
      <c r="M48" s="38"/>
    </row>
    <row r="49" spans="1:13" ht="15">
      <c r="A49" s="6"/>
      <c r="B49" s="38"/>
      <c r="C49" s="38"/>
      <c r="D49" s="38"/>
      <c r="E49" s="38"/>
      <c r="F49" s="38"/>
      <c r="G49" s="38"/>
      <c r="H49" s="38"/>
      <c r="I49" s="38"/>
      <c r="J49" s="38"/>
      <c r="K49" s="38"/>
      <c r="L49" s="38"/>
      <c r="M49" s="38"/>
    </row>
    <row r="50" spans="1:13" ht="15">
      <c r="A50" s="6"/>
      <c r="B50" s="38"/>
      <c r="C50" s="38"/>
      <c r="D50" s="38"/>
      <c r="E50" s="38"/>
      <c r="F50" s="38"/>
      <c r="G50" s="38"/>
      <c r="H50" s="38"/>
      <c r="I50" s="38"/>
      <c r="J50" s="38"/>
      <c r="K50" s="38"/>
      <c r="L50" s="38"/>
      <c r="M50" s="38"/>
    </row>
    <row r="51" spans="1:13" ht="15">
      <c r="A51" s="6"/>
      <c r="B51" s="38"/>
      <c r="C51" s="38"/>
      <c r="D51" s="38"/>
      <c r="E51" s="38"/>
      <c r="F51" s="38"/>
      <c r="G51" s="38"/>
      <c r="H51" s="38"/>
      <c r="I51" s="38"/>
      <c r="J51" s="38"/>
      <c r="K51" s="38"/>
      <c r="L51" s="38"/>
      <c r="M51" s="38"/>
    </row>
    <row r="52" spans="1:13" ht="15">
      <c r="A52" s="6"/>
      <c r="B52" s="38"/>
      <c r="C52" s="38"/>
      <c r="D52" s="38"/>
      <c r="E52" s="38"/>
      <c r="F52" s="38"/>
      <c r="G52" s="38"/>
      <c r="H52" s="38"/>
      <c r="I52" s="38"/>
      <c r="J52" s="38"/>
      <c r="K52" s="38"/>
      <c r="L52" s="38"/>
      <c r="M52" s="38"/>
    </row>
    <row r="53" spans="1:13" ht="15">
      <c r="A53" s="6"/>
      <c r="B53" s="38"/>
      <c r="C53" s="38"/>
      <c r="D53" s="38"/>
      <c r="E53" s="38"/>
      <c r="F53" s="38"/>
      <c r="G53" s="38"/>
      <c r="H53" s="38"/>
      <c r="I53" s="38"/>
      <c r="J53" s="38"/>
      <c r="K53" s="38"/>
      <c r="L53" s="38"/>
      <c r="M53" s="38"/>
    </row>
    <row r="54" spans="1:13" ht="15">
      <c r="A54" s="6"/>
      <c r="B54" s="38"/>
      <c r="C54" s="38"/>
      <c r="D54" s="38"/>
      <c r="E54" s="38"/>
      <c r="F54" s="38"/>
      <c r="G54" s="38"/>
      <c r="H54" s="38"/>
      <c r="I54" s="38"/>
      <c r="J54" s="38"/>
      <c r="K54" s="38"/>
      <c r="L54" s="38"/>
      <c r="M54" s="38"/>
    </row>
    <row r="55" spans="1:13" ht="15">
      <c r="A55" s="6"/>
      <c r="B55" s="38"/>
      <c r="C55" s="38"/>
      <c r="D55" s="38"/>
      <c r="E55" s="38"/>
      <c r="F55" s="38"/>
      <c r="G55" s="38"/>
      <c r="H55" s="38"/>
      <c r="I55" s="38"/>
      <c r="J55" s="38"/>
      <c r="K55" s="38"/>
      <c r="L55" s="38"/>
      <c r="M55" s="38"/>
    </row>
    <row r="56" spans="1:13" ht="15">
      <c r="A56" s="6"/>
      <c r="B56" s="38"/>
      <c r="C56" s="38"/>
      <c r="D56" s="38"/>
      <c r="E56" s="38"/>
      <c r="F56" s="38"/>
      <c r="G56" s="38"/>
      <c r="H56" s="38"/>
      <c r="I56" s="38"/>
      <c r="J56" s="38"/>
      <c r="K56" s="38"/>
      <c r="L56" s="38"/>
      <c r="M56" s="38"/>
    </row>
    <row r="57" spans="1:13" ht="15">
      <c r="A57" s="6"/>
      <c r="B57" s="38"/>
      <c r="C57" s="38"/>
      <c r="D57" s="38"/>
      <c r="E57" s="38"/>
      <c r="F57" s="38"/>
      <c r="G57" s="38"/>
      <c r="H57" s="38"/>
      <c r="I57" s="38"/>
      <c r="J57" s="38"/>
      <c r="K57" s="38"/>
      <c r="L57" s="38"/>
      <c r="M57" s="38"/>
    </row>
    <row r="58" spans="1:13" ht="15">
      <c r="A58" s="6"/>
      <c r="B58" s="38"/>
      <c r="C58" s="38"/>
      <c r="D58" s="38"/>
      <c r="E58" s="38"/>
      <c r="F58" s="38"/>
      <c r="G58" s="38"/>
      <c r="H58" s="38"/>
      <c r="I58" s="38"/>
      <c r="J58" s="38"/>
      <c r="K58" s="38"/>
      <c r="L58" s="38"/>
      <c r="M58" s="38"/>
    </row>
    <row r="59" spans="1:13" ht="15">
      <c r="A59" s="6"/>
      <c r="B59" s="38"/>
      <c r="C59" s="38"/>
      <c r="D59" s="38"/>
      <c r="E59" s="38"/>
      <c r="F59" s="38"/>
      <c r="G59" s="38"/>
      <c r="H59" s="38"/>
      <c r="I59" s="38"/>
      <c r="J59" s="38"/>
      <c r="K59" s="38"/>
      <c r="L59" s="38"/>
      <c r="M59" s="38"/>
    </row>
    <row r="60" spans="1:13" ht="15">
      <c r="A60" s="6"/>
      <c r="B60" s="38"/>
      <c r="C60" s="38"/>
      <c r="D60" s="38"/>
      <c r="E60" s="38"/>
      <c r="F60" s="38"/>
      <c r="G60" s="38"/>
      <c r="H60" s="38"/>
      <c r="I60" s="38"/>
      <c r="J60" s="38"/>
      <c r="K60" s="38"/>
      <c r="L60" s="38"/>
      <c r="M60" s="38"/>
    </row>
    <row r="61" spans="1:13" ht="15">
      <c r="A61" s="6"/>
      <c r="B61" s="38"/>
      <c r="C61" s="38"/>
      <c r="D61" s="38"/>
      <c r="E61" s="38"/>
      <c r="F61" s="38"/>
      <c r="G61" s="38"/>
      <c r="H61" s="38"/>
      <c r="I61" s="38"/>
      <c r="J61" s="38"/>
      <c r="K61" s="38"/>
      <c r="L61" s="38"/>
      <c r="M61" s="38"/>
    </row>
    <row r="62" spans="1:13" ht="15">
      <c r="A62" s="6"/>
      <c r="B62" s="38"/>
      <c r="C62" s="38"/>
      <c r="D62" s="38"/>
      <c r="E62" s="38"/>
      <c r="F62" s="38"/>
      <c r="G62" s="38"/>
      <c r="H62" s="38"/>
      <c r="I62" s="38"/>
      <c r="J62" s="38"/>
      <c r="K62" s="38"/>
      <c r="L62" s="38"/>
      <c r="M62" s="38"/>
    </row>
    <row r="63" spans="1:13" ht="15">
      <c r="A63" s="6"/>
      <c r="B63" s="38"/>
      <c r="C63" s="38"/>
      <c r="D63" s="38"/>
      <c r="E63" s="38"/>
      <c r="F63" s="38"/>
      <c r="G63" s="38"/>
      <c r="H63" s="38"/>
      <c r="I63" s="38"/>
      <c r="J63" s="38"/>
      <c r="K63" s="38"/>
      <c r="L63" s="38"/>
      <c r="M63" s="38"/>
    </row>
    <row r="64" spans="1:13" ht="15">
      <c r="A64" s="6"/>
      <c r="B64" s="38"/>
      <c r="C64" s="38"/>
      <c r="D64" s="38"/>
      <c r="E64" s="38"/>
      <c r="F64" s="38"/>
      <c r="G64" s="38"/>
      <c r="H64" s="38"/>
      <c r="I64" s="38"/>
      <c r="J64" s="38"/>
      <c r="K64" s="38"/>
      <c r="L64" s="38"/>
      <c r="M64" s="38"/>
    </row>
  </sheetData>
  <sheetProtection/>
  <mergeCells count="50">
    <mergeCell ref="N27:O27"/>
    <mergeCell ref="A37:B37"/>
    <mergeCell ref="I37:J37"/>
    <mergeCell ref="A38:B38"/>
    <mergeCell ref="I38:J38"/>
    <mergeCell ref="A36:B36"/>
    <mergeCell ref="I36:J36"/>
    <mergeCell ref="A31:B31"/>
    <mergeCell ref="A32:B32"/>
    <mergeCell ref="I32:J32"/>
    <mergeCell ref="I39:J39"/>
    <mergeCell ref="I40:J40"/>
    <mergeCell ref="B42:F42"/>
    <mergeCell ref="B43:F43"/>
    <mergeCell ref="A10:B10"/>
    <mergeCell ref="A6:B9"/>
    <mergeCell ref="C6:C9"/>
    <mergeCell ref="B46:F46"/>
    <mergeCell ref="A39:B39"/>
    <mergeCell ref="B44:F44"/>
    <mergeCell ref="B45:F45"/>
    <mergeCell ref="I33:J33"/>
    <mergeCell ref="A35:B35"/>
    <mergeCell ref="I35:J35"/>
    <mergeCell ref="I29:J29"/>
    <mergeCell ref="K29:M29"/>
    <mergeCell ref="D6:O6"/>
    <mergeCell ref="N7:N9"/>
    <mergeCell ref="D7:D9"/>
    <mergeCell ref="I7:I9"/>
    <mergeCell ref="E8:E9"/>
    <mergeCell ref="J28:M28"/>
    <mergeCell ref="K7:K9"/>
    <mergeCell ref="E7:G7"/>
    <mergeCell ref="F8:G8"/>
    <mergeCell ref="L3:O3"/>
    <mergeCell ref="A1:B1"/>
    <mergeCell ref="D1:K1"/>
    <mergeCell ref="D2:K2"/>
    <mergeCell ref="L2:O2"/>
    <mergeCell ref="L1:O1"/>
    <mergeCell ref="D3:K3"/>
    <mergeCell ref="D4:K4"/>
    <mergeCell ref="L4:O4"/>
    <mergeCell ref="L5:O5"/>
    <mergeCell ref="O7:O9"/>
    <mergeCell ref="L7:L9"/>
    <mergeCell ref="J7:J9"/>
    <mergeCell ref="M7:M9"/>
    <mergeCell ref="H7:H9"/>
  </mergeCells>
  <printOptions/>
  <pageMargins left="0.25" right="0" top="0.25" bottom="0" header="0.5" footer="0.5"/>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indexed="10"/>
  </sheetPr>
  <dimension ref="A1:D41"/>
  <sheetViews>
    <sheetView zoomScale="90" zoomScaleNormal="90" zoomScalePageLayoutView="0" workbookViewId="0" topLeftCell="A7">
      <selection activeCell="C14" sqref="C14"/>
    </sheetView>
  </sheetViews>
  <sheetFormatPr defaultColWidth="9.00390625" defaultRowHeight="15.75"/>
  <cols>
    <col min="1" max="1" width="4.25390625" style="59" customWidth="1"/>
    <col min="2" max="2" width="72.00390625" style="59" customWidth="1"/>
    <col min="3" max="3" width="55.25390625" style="59" customWidth="1"/>
    <col min="4" max="4" width="13.00390625" style="59" customWidth="1"/>
    <col min="5" max="16384" width="9.00390625" style="59" customWidth="1"/>
  </cols>
  <sheetData>
    <row r="1" spans="1:3" s="1" customFormat="1" ht="36" customHeight="1">
      <c r="A1" s="1309" t="s">
        <v>150</v>
      </c>
      <c r="B1" s="846"/>
      <c r="C1" s="846"/>
    </row>
    <row r="2" spans="1:3" ht="21.75" customHeight="1">
      <c r="A2" s="1353" t="s">
        <v>59</v>
      </c>
      <c r="B2" s="1354"/>
      <c r="C2" s="57" t="s">
        <v>362</v>
      </c>
    </row>
    <row r="3" spans="1:3" ht="12.75" customHeight="1">
      <c r="A3" s="1351" t="s">
        <v>5</v>
      </c>
      <c r="B3" s="1352"/>
      <c r="C3" s="4">
        <v>1</v>
      </c>
    </row>
    <row r="4" spans="1:4" ht="17.25" customHeight="1">
      <c r="A4" s="176" t="s">
        <v>37</v>
      </c>
      <c r="B4" s="177" t="s">
        <v>260</v>
      </c>
      <c r="C4" s="1361">
        <f>1!C21</f>
        <v>53</v>
      </c>
      <c r="D4" s="209">
        <f>C5+C6+C7+C8+C9+C10-C4</f>
        <v>0</v>
      </c>
    </row>
    <row r="5" spans="1:4" s="7" customFormat="1" ht="14.25" customHeight="1">
      <c r="A5" s="4" t="s">
        <v>39</v>
      </c>
      <c r="B5" s="60" t="s">
        <v>122</v>
      </c>
      <c r="C5" s="220">
        <f>3+3+0</f>
        <v>6</v>
      </c>
      <c r="D5" s="210"/>
    </row>
    <row r="6" spans="1:4" s="7" customFormat="1" ht="14.25" customHeight="1">
      <c r="A6" s="4" t="s">
        <v>40</v>
      </c>
      <c r="B6" s="60" t="s">
        <v>123</v>
      </c>
      <c r="C6" s="220">
        <v>47</v>
      </c>
      <c r="D6" s="210"/>
    </row>
    <row r="7" spans="1:4" s="7" customFormat="1" ht="14.25" customHeight="1">
      <c r="A7" s="4" t="s">
        <v>110</v>
      </c>
      <c r="B7" s="60" t="s">
        <v>124</v>
      </c>
      <c r="C7" s="220">
        <v>0</v>
      </c>
      <c r="D7" s="210"/>
    </row>
    <row r="8" spans="1:4" s="7" customFormat="1" ht="14.25" customHeight="1">
      <c r="A8" s="4" t="s">
        <v>112</v>
      </c>
      <c r="B8" s="60" t="s">
        <v>125</v>
      </c>
      <c r="C8" s="220">
        <v>0</v>
      </c>
      <c r="D8" s="210"/>
    </row>
    <row r="9" spans="1:4" s="7" customFormat="1" ht="14.25" customHeight="1">
      <c r="A9" s="4" t="s">
        <v>114</v>
      </c>
      <c r="B9" s="60" t="s">
        <v>126</v>
      </c>
      <c r="C9" s="220">
        <v>0</v>
      </c>
      <c r="D9" s="210"/>
    </row>
    <row r="10" spans="1:4" s="7" customFormat="1" ht="14.25" customHeight="1">
      <c r="A10" s="4" t="s">
        <v>116</v>
      </c>
      <c r="B10" s="60" t="s">
        <v>127</v>
      </c>
      <c r="C10" s="220">
        <v>0</v>
      </c>
      <c r="D10" s="210"/>
    </row>
    <row r="11" spans="1:4" s="58" customFormat="1" ht="18" customHeight="1">
      <c r="A11" s="176" t="s">
        <v>38</v>
      </c>
      <c r="B11" s="177" t="s">
        <v>251</v>
      </c>
      <c r="C11" s="221">
        <f>1!C22</f>
        <v>10</v>
      </c>
      <c r="D11" s="211">
        <f>C13+C12-C11</f>
        <v>0</v>
      </c>
    </row>
    <row r="12" spans="1:4" s="7" customFormat="1" ht="14.25" customHeight="1">
      <c r="A12" s="4" t="s">
        <v>41</v>
      </c>
      <c r="B12" s="60" t="s">
        <v>128</v>
      </c>
      <c r="C12" s="220">
        <v>7</v>
      </c>
      <c r="D12" s="210"/>
    </row>
    <row r="13" spans="1:4" ht="14.25" customHeight="1">
      <c r="A13" s="4" t="s">
        <v>42</v>
      </c>
      <c r="B13" s="60" t="s">
        <v>129</v>
      </c>
      <c r="C13" s="191">
        <v>3</v>
      </c>
      <c r="D13" s="212"/>
    </row>
    <row r="14" spans="1:4" ht="18" customHeight="1">
      <c r="A14" s="176" t="s">
        <v>43</v>
      </c>
      <c r="B14" s="177" t="s">
        <v>119</v>
      </c>
      <c r="C14" s="1361">
        <f>1!C24</f>
        <v>159</v>
      </c>
      <c r="D14" s="212">
        <f>C17+C16+C15-C14</f>
        <v>0</v>
      </c>
    </row>
    <row r="15" spans="1:4" ht="14.25" customHeight="1">
      <c r="A15" s="4" t="s">
        <v>130</v>
      </c>
      <c r="B15" s="64" t="s">
        <v>131</v>
      </c>
      <c r="C15" s="191">
        <v>122</v>
      </c>
      <c r="D15" s="212"/>
    </row>
    <row r="16" spans="1:4" s="7" customFormat="1" ht="14.25" customHeight="1">
      <c r="A16" s="4" t="s">
        <v>132</v>
      </c>
      <c r="B16" s="60" t="s">
        <v>133</v>
      </c>
      <c r="C16" s="220">
        <f>11+15+0</f>
        <v>26</v>
      </c>
      <c r="D16" s="210"/>
    </row>
    <row r="17" spans="1:4" s="7" customFormat="1" ht="14.25" customHeight="1">
      <c r="A17" s="4" t="s">
        <v>134</v>
      </c>
      <c r="B17" s="60" t="s">
        <v>135</v>
      </c>
      <c r="C17" s="220">
        <v>11</v>
      </c>
      <c r="D17" s="210"/>
    </row>
    <row r="18" spans="1:4" s="7" customFormat="1" ht="17.25" customHeight="1">
      <c r="A18" s="176" t="s">
        <v>62</v>
      </c>
      <c r="B18" s="177" t="s">
        <v>252</v>
      </c>
      <c r="C18" s="222">
        <f>1!C19</f>
        <v>43</v>
      </c>
      <c r="D18" s="210">
        <f>C19+C20+C21+C22+C23+C24-C18</f>
        <v>0</v>
      </c>
    </row>
    <row r="19" spans="1:4" s="7" customFormat="1" ht="14.25" customHeight="1">
      <c r="A19" s="4" t="s">
        <v>136</v>
      </c>
      <c r="B19" s="60" t="s">
        <v>137</v>
      </c>
      <c r="C19" s="220">
        <v>1</v>
      </c>
      <c r="D19" s="210"/>
    </row>
    <row r="20" spans="1:4" s="7" customFormat="1" ht="14.25" customHeight="1">
      <c r="A20" s="4" t="s">
        <v>138</v>
      </c>
      <c r="B20" s="60" t="s">
        <v>139</v>
      </c>
      <c r="C20" s="220">
        <v>0</v>
      </c>
      <c r="D20" s="210"/>
    </row>
    <row r="21" spans="1:4" s="7" customFormat="1" ht="14.25" customHeight="1">
      <c r="A21" s="4" t="s">
        <v>140</v>
      </c>
      <c r="B21" s="60" t="s">
        <v>141</v>
      </c>
      <c r="C21" s="220">
        <v>2</v>
      </c>
      <c r="D21" s="210"/>
    </row>
    <row r="22" spans="1:4" s="7" customFormat="1" ht="14.25" customHeight="1">
      <c r="A22" s="4" t="s">
        <v>142</v>
      </c>
      <c r="B22" s="60" t="s">
        <v>125</v>
      </c>
      <c r="C22" s="220">
        <v>0</v>
      </c>
      <c r="D22" s="210"/>
    </row>
    <row r="23" spans="1:4" s="7" customFormat="1" ht="14.25" customHeight="1">
      <c r="A23" s="4" t="s">
        <v>143</v>
      </c>
      <c r="B23" s="60" t="s">
        <v>126</v>
      </c>
      <c r="C23" s="220">
        <v>40</v>
      </c>
      <c r="D23" s="210"/>
    </row>
    <row r="24" spans="1:4" s="7" customFormat="1" ht="14.25" customHeight="1">
      <c r="A24" s="4" t="s">
        <v>144</v>
      </c>
      <c r="B24" s="60" t="s">
        <v>145</v>
      </c>
      <c r="C24" s="220">
        <v>0</v>
      </c>
      <c r="D24" s="210"/>
    </row>
    <row r="25" spans="1:4" s="7" customFormat="1" ht="18.75" customHeight="1">
      <c r="A25" s="176" t="s">
        <v>63</v>
      </c>
      <c r="B25" s="177" t="s">
        <v>261</v>
      </c>
      <c r="C25" s="221">
        <f>1!C25</f>
        <v>1306</v>
      </c>
      <c r="D25" s="210">
        <f>C26+C27+C28-C25</f>
        <v>0</v>
      </c>
    </row>
    <row r="26" spans="1:4" s="7" customFormat="1" ht="14.25" customHeight="1">
      <c r="A26" s="4" t="s">
        <v>146</v>
      </c>
      <c r="B26" s="60" t="s">
        <v>137</v>
      </c>
      <c r="C26" s="220">
        <v>1198</v>
      </c>
      <c r="D26" s="210"/>
    </row>
    <row r="27" spans="1:4" ht="14.25" customHeight="1">
      <c r="A27" s="4" t="s">
        <v>147</v>
      </c>
      <c r="B27" s="60" t="s">
        <v>139</v>
      </c>
      <c r="C27" s="191">
        <f>37+3+0</f>
        <v>40</v>
      </c>
      <c r="D27" s="212"/>
    </row>
    <row r="28" spans="1:4" s="7" customFormat="1" ht="14.25" customHeight="1" thickBot="1">
      <c r="A28" s="322" t="s">
        <v>148</v>
      </c>
      <c r="B28" s="323" t="s">
        <v>149</v>
      </c>
      <c r="C28" s="324">
        <v>68</v>
      </c>
      <c r="D28" s="210"/>
    </row>
    <row r="29" spans="1:3" ht="15.75" customHeight="1" thickTop="1">
      <c r="A29" s="1355" t="str">
        <f>'Thông tin'!B7</f>
        <v>Bình Thuận, ngày 06 tháng 4 năm 2016</v>
      </c>
      <c r="B29" s="1355"/>
      <c r="C29" s="506" t="str">
        <f>A29</f>
        <v>Bình Thuận, ngày 06 tháng 4 năm 2016</v>
      </c>
    </row>
    <row r="30" spans="1:3" ht="15.75" customHeight="1">
      <c r="A30" s="985" t="s">
        <v>31</v>
      </c>
      <c r="B30" s="985"/>
      <c r="C30" s="1356" t="s">
        <v>579</v>
      </c>
    </row>
    <row r="31" spans="1:4" s="62" customFormat="1" ht="16.5">
      <c r="A31" s="508"/>
      <c r="B31" s="509"/>
      <c r="C31" s="1357"/>
      <c r="D31" s="63"/>
    </row>
    <row r="32" spans="1:3" ht="15.75" customHeight="1">
      <c r="A32" s="508"/>
      <c r="B32" s="510"/>
      <c r="C32" s="511"/>
    </row>
    <row r="33" spans="1:3" ht="15.75" customHeight="1">
      <c r="A33" s="508"/>
      <c r="B33" s="510"/>
      <c r="C33" s="508"/>
    </row>
    <row r="34" spans="1:3" ht="15.75" customHeight="1">
      <c r="A34" s="1350"/>
      <c r="B34" s="1350"/>
      <c r="C34" s="49"/>
    </row>
    <row r="35" spans="1:3" ht="15.75" customHeight="1">
      <c r="A35" s="49"/>
      <c r="B35" s="510"/>
      <c r="C35" s="512"/>
    </row>
    <row r="36" spans="1:3" ht="15.75" hidden="1">
      <c r="A36" s="513" t="s">
        <v>33</v>
      </c>
      <c r="B36" s="514"/>
      <c r="C36" s="514"/>
    </row>
    <row r="37" spans="1:3" ht="15.75" hidden="1">
      <c r="A37" s="49"/>
      <c r="B37" s="49" t="s">
        <v>35</v>
      </c>
      <c r="C37" s="49"/>
    </row>
    <row r="38" spans="1:3" ht="15.75" hidden="1">
      <c r="A38" s="49"/>
      <c r="B38" s="515" t="s">
        <v>53</v>
      </c>
      <c r="C38" s="515"/>
    </row>
    <row r="39" spans="1:3" ht="15.75" hidden="1">
      <c r="A39" s="49"/>
      <c r="B39" s="515" t="s">
        <v>50</v>
      </c>
      <c r="C39" s="515"/>
    </row>
    <row r="40" spans="1:3" ht="15.75" hidden="1">
      <c r="A40" s="49"/>
      <c r="B40" s="516" t="s">
        <v>54</v>
      </c>
      <c r="C40" s="49"/>
    </row>
    <row r="41" spans="1:3" ht="16.5">
      <c r="A41" s="49"/>
      <c r="B41" s="517" t="str">
        <f>'Thông tin'!B4</f>
        <v>Trần Quốc Bảo</v>
      </c>
      <c r="C41" s="507" t="str">
        <f>'Thông tin'!B5</f>
        <v>Trần Nam</v>
      </c>
    </row>
  </sheetData>
  <sheetProtection/>
  <mergeCells count="7">
    <mergeCell ref="A30:B30"/>
    <mergeCell ref="A34:B34"/>
    <mergeCell ref="A3:B3"/>
    <mergeCell ref="A1:C1"/>
    <mergeCell ref="A2:B2"/>
    <mergeCell ref="A29:B29"/>
    <mergeCell ref="C30:C31"/>
  </mergeCells>
  <printOptions/>
  <pageMargins left="0" right="0" top="0" bottom="0" header="0.5" footer="0.5"/>
  <pageSetup horizontalDpi="1200" verticalDpi="1200" orientation="landscape" paperSize="9" r:id="rId2"/>
  <drawing r:id="rId1"/>
</worksheet>
</file>

<file path=xl/worksheets/sheet25.xml><?xml version="1.0" encoding="utf-8"?>
<worksheet xmlns="http://schemas.openxmlformats.org/spreadsheetml/2006/main" xmlns:r="http://schemas.openxmlformats.org/officeDocument/2006/relationships">
  <sheetPr>
    <tabColor indexed="10"/>
  </sheetPr>
  <dimension ref="A1:P64"/>
  <sheetViews>
    <sheetView zoomScalePageLayoutView="0" workbookViewId="0" topLeftCell="A1">
      <selection activeCell="J14" sqref="J14"/>
    </sheetView>
  </sheetViews>
  <sheetFormatPr defaultColWidth="9.00390625" defaultRowHeight="15.75"/>
  <cols>
    <col min="1" max="1" width="4.125" style="1" customWidth="1"/>
    <col min="2" max="2" width="22.25390625" style="36" customWidth="1"/>
    <col min="3" max="3" width="11.875" style="36" customWidth="1"/>
    <col min="4" max="4" width="9.125" style="36" customWidth="1"/>
    <col min="5" max="5" width="9.50390625" style="36" customWidth="1"/>
    <col min="6" max="6" width="9.125" style="36" customWidth="1"/>
    <col min="7" max="7" width="8.375" style="36" customWidth="1"/>
    <col min="8" max="10" width="7.75390625" style="36" customWidth="1"/>
    <col min="11" max="11" width="8.25390625" style="36" customWidth="1"/>
    <col min="12" max="12" width="9.00390625" style="36" customWidth="1"/>
    <col min="13" max="13" width="9.50390625" style="36" customWidth="1"/>
    <col min="14" max="14" width="8.75390625" style="36" customWidth="1"/>
    <col min="15" max="16384" width="9.00390625" style="36" customWidth="1"/>
  </cols>
  <sheetData>
    <row r="1" spans="1:14" ht="19.5" customHeight="1">
      <c r="A1" s="1359" t="s">
        <v>19</v>
      </c>
      <c r="B1" s="1359"/>
      <c r="C1" s="268"/>
      <c r="D1" s="1314" t="s">
        <v>70</v>
      </c>
      <c r="E1" s="1314"/>
      <c r="F1" s="1314"/>
      <c r="G1" s="1314"/>
      <c r="H1" s="1314"/>
      <c r="I1" s="1314"/>
      <c r="J1" s="1314"/>
      <c r="K1" s="1314"/>
      <c r="L1" s="1360" t="s">
        <v>340</v>
      </c>
      <c r="M1" s="1360"/>
      <c r="N1" s="1360"/>
    </row>
    <row r="2" spans="1:16" ht="16.5" customHeight="1">
      <c r="A2" s="269" t="s">
        <v>247</v>
      </c>
      <c r="B2" s="269"/>
      <c r="C2" s="269"/>
      <c r="D2" s="1314" t="s">
        <v>87</v>
      </c>
      <c r="E2" s="1314"/>
      <c r="F2" s="1314"/>
      <c r="G2" s="1314"/>
      <c r="H2" s="1314"/>
      <c r="I2" s="1314"/>
      <c r="J2" s="1314"/>
      <c r="K2" s="1314"/>
      <c r="L2" s="850" t="str">
        <f>'Thông tin'!B3</f>
        <v>Cục THADS tỉnh Bình Thuận</v>
      </c>
      <c r="M2" s="850"/>
      <c r="N2" s="850"/>
      <c r="P2" s="37"/>
    </row>
    <row r="3" spans="1:16" ht="16.5" customHeight="1">
      <c r="A3" s="270" t="s">
        <v>248</v>
      </c>
      <c r="B3" s="270"/>
      <c r="C3" s="271"/>
      <c r="D3" s="1314" t="str">
        <f>'Thông tin'!B2</f>
        <v>6 tháng / năm 2016</v>
      </c>
      <c r="E3" s="1314"/>
      <c r="F3" s="1314"/>
      <c r="G3" s="1314"/>
      <c r="H3" s="1314"/>
      <c r="I3" s="1314"/>
      <c r="J3" s="1314"/>
      <c r="K3" s="1314"/>
      <c r="L3" s="1360" t="s">
        <v>341</v>
      </c>
      <c r="M3" s="1360"/>
      <c r="N3" s="1360"/>
      <c r="P3" s="38"/>
    </row>
    <row r="4" spans="1:16" ht="16.5" customHeight="1">
      <c r="A4" s="272" t="s">
        <v>351</v>
      </c>
      <c r="B4" s="272"/>
      <c r="C4" s="261"/>
      <c r="D4" s="1003" t="s">
        <v>568</v>
      </c>
      <c r="E4" s="1003"/>
      <c r="F4" s="1003"/>
      <c r="G4" s="1003"/>
      <c r="H4" s="1003"/>
      <c r="I4" s="1003"/>
      <c r="J4" s="1003"/>
      <c r="K4" s="1003"/>
      <c r="L4" s="850" t="s">
        <v>348</v>
      </c>
      <c r="M4" s="850"/>
      <c r="N4" s="850"/>
      <c r="P4" s="38"/>
    </row>
    <row r="5" spans="1:16" ht="16.5" customHeight="1">
      <c r="A5" s="273"/>
      <c r="B5" s="261"/>
      <c r="C5" s="261"/>
      <c r="D5" s="261"/>
      <c r="E5" s="261"/>
      <c r="F5" s="262"/>
      <c r="G5" s="263"/>
      <c r="H5" s="263"/>
      <c r="I5" s="263"/>
      <c r="J5" s="262"/>
      <c r="K5" s="264"/>
      <c r="L5" s="1315" t="s">
        <v>8</v>
      </c>
      <c r="M5" s="1315"/>
      <c r="N5" s="1315"/>
      <c r="P5" s="38"/>
    </row>
    <row r="6" spans="1:16" ht="22.5" customHeight="1">
      <c r="A6" s="1339" t="s">
        <v>58</v>
      </c>
      <c r="B6" s="1340"/>
      <c r="C6" s="1345" t="s">
        <v>27</v>
      </c>
      <c r="D6" s="1321" t="s">
        <v>238</v>
      </c>
      <c r="E6" s="1322"/>
      <c r="F6" s="1322"/>
      <c r="G6" s="1322"/>
      <c r="H6" s="1322"/>
      <c r="I6" s="1322"/>
      <c r="J6" s="1322"/>
      <c r="K6" s="1322"/>
      <c r="L6" s="1322"/>
      <c r="M6" s="1322"/>
      <c r="N6" s="1323"/>
      <c r="P6" s="38"/>
    </row>
    <row r="7" spans="1:16" ht="20.25" customHeight="1">
      <c r="A7" s="1341"/>
      <c r="B7" s="1342"/>
      <c r="C7" s="1346"/>
      <c r="D7" s="1324" t="s">
        <v>89</v>
      </c>
      <c r="E7" s="1330" t="s">
        <v>90</v>
      </c>
      <c r="F7" s="1331"/>
      <c r="G7" s="1332"/>
      <c r="H7" s="1316" t="s">
        <v>91</v>
      </c>
      <c r="I7" s="1316" t="s">
        <v>92</v>
      </c>
      <c r="J7" s="1316" t="s">
        <v>93</v>
      </c>
      <c r="K7" s="1316" t="s">
        <v>94</v>
      </c>
      <c r="L7" s="1316" t="s">
        <v>95</v>
      </c>
      <c r="M7" s="1316" t="s">
        <v>96</v>
      </c>
      <c r="N7" s="1316" t="s">
        <v>97</v>
      </c>
      <c r="O7" s="38"/>
      <c r="P7" s="38"/>
    </row>
    <row r="8" spans="1:16" ht="21" customHeight="1">
      <c r="A8" s="1341"/>
      <c r="B8" s="1342"/>
      <c r="C8" s="1346"/>
      <c r="D8" s="1325"/>
      <c r="E8" s="1327" t="s">
        <v>26</v>
      </c>
      <c r="F8" s="1333" t="s">
        <v>6</v>
      </c>
      <c r="G8" s="1334"/>
      <c r="H8" s="1316"/>
      <c r="I8" s="1316"/>
      <c r="J8" s="1316"/>
      <c r="K8" s="1316"/>
      <c r="L8" s="1316"/>
      <c r="M8" s="1316"/>
      <c r="N8" s="1316"/>
      <c r="O8" s="1347"/>
      <c r="P8" s="1347"/>
    </row>
    <row r="9" spans="1:16" ht="39.75" customHeight="1">
      <c r="A9" s="1343"/>
      <c r="B9" s="1344"/>
      <c r="C9" s="1346"/>
      <c r="D9" s="1326"/>
      <c r="E9" s="1328"/>
      <c r="F9" s="237" t="s">
        <v>98</v>
      </c>
      <c r="G9" s="238" t="s">
        <v>99</v>
      </c>
      <c r="H9" s="1317"/>
      <c r="I9" s="1317"/>
      <c r="J9" s="1317"/>
      <c r="K9" s="1317"/>
      <c r="L9" s="1317"/>
      <c r="M9" s="1317"/>
      <c r="N9" s="1317"/>
      <c r="O9" s="40"/>
      <c r="P9" s="40"/>
    </row>
    <row r="10" spans="1:16" s="42" customFormat="1" ht="14.25" customHeight="1">
      <c r="A10" s="1337" t="s">
        <v>28</v>
      </c>
      <c r="B10" s="1338"/>
      <c r="C10" s="265">
        <v>1</v>
      </c>
      <c r="D10" s="265">
        <v>2</v>
      </c>
      <c r="E10" s="265">
        <v>3</v>
      </c>
      <c r="F10" s="265">
        <v>4</v>
      </c>
      <c r="G10" s="265">
        <v>5</v>
      </c>
      <c r="H10" s="265">
        <v>6</v>
      </c>
      <c r="I10" s="265">
        <v>7</v>
      </c>
      <c r="J10" s="265">
        <v>8</v>
      </c>
      <c r="K10" s="265">
        <v>9</v>
      </c>
      <c r="L10" s="265">
        <v>10</v>
      </c>
      <c r="M10" s="265">
        <v>11</v>
      </c>
      <c r="N10" s="265">
        <v>12</v>
      </c>
      <c r="O10" s="41"/>
      <c r="P10" s="41"/>
    </row>
    <row r="11" spans="1:16" ht="22.5" customHeight="1">
      <c r="A11" s="169" t="s">
        <v>0</v>
      </c>
      <c r="B11" s="170" t="s">
        <v>100</v>
      </c>
      <c r="C11" s="180">
        <f>D11+E11+H11+I11+J11+K11+L11+M11+N11</f>
        <v>7290</v>
      </c>
      <c r="D11" s="181">
        <f>D12+D13</f>
        <v>2533</v>
      </c>
      <c r="E11" s="181">
        <f>F11+G11</f>
        <v>2255</v>
      </c>
      <c r="F11" s="182">
        <f>F12+F13</f>
        <v>228</v>
      </c>
      <c r="G11" s="182">
        <f aca="true" t="shared" si="0" ref="G11:N11">G12+G13</f>
        <v>2027</v>
      </c>
      <c r="H11" s="182">
        <f t="shared" si="0"/>
        <v>12</v>
      </c>
      <c r="I11" s="182">
        <f t="shared" si="0"/>
        <v>2251</v>
      </c>
      <c r="J11" s="182">
        <f t="shared" si="0"/>
        <v>209</v>
      </c>
      <c r="K11" s="182">
        <f t="shared" si="0"/>
        <v>2</v>
      </c>
      <c r="L11" s="182">
        <f t="shared" si="0"/>
        <v>1</v>
      </c>
      <c r="M11" s="182">
        <f t="shared" si="0"/>
        <v>0</v>
      </c>
      <c r="N11" s="182">
        <f t="shared" si="0"/>
        <v>27</v>
      </c>
      <c r="O11" s="38"/>
      <c r="P11" s="38"/>
    </row>
    <row r="12" spans="1:16" ht="22.5" customHeight="1">
      <c r="A12" s="43">
        <v>1</v>
      </c>
      <c r="B12" s="168" t="s">
        <v>101</v>
      </c>
      <c r="C12" s="180">
        <f aca="true" t="shared" si="1" ref="C12:C25">D12+E12+H12+I12+J12+K12+L12+M12+N12</f>
        <v>3059</v>
      </c>
      <c r="D12" s="183">
        <f>51+245+265+115+22+121+77+121+63+99+13</f>
        <v>1192</v>
      </c>
      <c r="E12" s="181">
        <f aca="true" t="shared" si="2" ref="E12:E25">F12+G12</f>
        <v>1451</v>
      </c>
      <c r="F12" s="184">
        <f>2+43+40+39+9+5+2+3+1+0</f>
        <v>144</v>
      </c>
      <c r="G12" s="184">
        <f>97+291+165+110+68+103+66+175+96+128+8</f>
        <v>1307</v>
      </c>
      <c r="H12" s="184">
        <f>2+0</f>
        <v>2</v>
      </c>
      <c r="I12" s="184">
        <f>1+32+79+16+6+34+4+34+1+100+1</f>
        <v>308</v>
      </c>
      <c r="J12" s="184">
        <f>18+32+6+1+8+20+2+17+0</f>
        <v>104</v>
      </c>
      <c r="K12" s="184">
        <v>1</v>
      </c>
      <c r="L12" s="184">
        <v>1</v>
      </c>
      <c r="M12" s="184">
        <v>0</v>
      </c>
      <c r="N12" s="185"/>
      <c r="O12" s="38"/>
      <c r="P12" s="38"/>
    </row>
    <row r="13" spans="1:16" ht="22.5" customHeight="1">
      <c r="A13" s="43">
        <v>2</v>
      </c>
      <c r="B13" s="168" t="s">
        <v>102</v>
      </c>
      <c r="C13" s="180">
        <f t="shared" si="1"/>
        <v>4231</v>
      </c>
      <c r="D13" s="186">
        <f>8+137+164+272+84+185+114+86+114+177+0</f>
        <v>1341</v>
      </c>
      <c r="E13" s="181">
        <f t="shared" si="2"/>
        <v>804</v>
      </c>
      <c r="F13" s="185">
        <f>26+10+41+4+2+1+0</f>
        <v>84</v>
      </c>
      <c r="G13" s="185">
        <f>18+114+71+119+62+79+50+56+71+67+13</f>
        <v>720</v>
      </c>
      <c r="H13" s="185">
        <v>10</v>
      </c>
      <c r="I13" s="185">
        <f>8+236+269+225+167+270+173+348+202+82+34+0-71</f>
        <v>1943</v>
      </c>
      <c r="J13" s="185">
        <f>2+8+2+1+1+0+70+20+1+0</f>
        <v>105</v>
      </c>
      <c r="K13" s="185">
        <v>1</v>
      </c>
      <c r="L13" s="185">
        <v>0</v>
      </c>
      <c r="M13" s="185">
        <v>0</v>
      </c>
      <c r="N13" s="185">
        <v>27</v>
      </c>
      <c r="O13" s="38"/>
      <c r="P13" s="38"/>
    </row>
    <row r="14" spans="1:16" ht="21.75" customHeight="1">
      <c r="A14" s="174" t="s">
        <v>1</v>
      </c>
      <c r="B14" s="175" t="s">
        <v>103</v>
      </c>
      <c r="C14" s="180">
        <f t="shared" si="1"/>
        <v>77</v>
      </c>
      <c r="D14" s="187">
        <v>3</v>
      </c>
      <c r="E14" s="181">
        <f t="shared" si="2"/>
        <v>68</v>
      </c>
      <c r="F14" s="188">
        <v>0</v>
      </c>
      <c r="G14" s="188">
        <f>10+14+1+3+2+2+25+9+2</f>
        <v>68</v>
      </c>
      <c r="H14" s="188">
        <v>0</v>
      </c>
      <c r="I14" s="188">
        <v>4</v>
      </c>
      <c r="J14" s="188">
        <v>2</v>
      </c>
      <c r="K14" s="188">
        <v>0</v>
      </c>
      <c r="L14" s="188">
        <v>0</v>
      </c>
      <c r="M14" s="188">
        <v>0</v>
      </c>
      <c r="N14" s="188">
        <v>0</v>
      </c>
      <c r="O14" s="38"/>
      <c r="P14" s="38"/>
    </row>
    <row r="15" spans="1:16" ht="22.5" customHeight="1">
      <c r="A15" s="174" t="s">
        <v>9</v>
      </c>
      <c r="B15" s="175" t="s">
        <v>104</v>
      </c>
      <c r="C15" s="180">
        <f t="shared" si="1"/>
        <v>2</v>
      </c>
      <c r="D15" s="187">
        <v>0</v>
      </c>
      <c r="E15" s="181">
        <f t="shared" si="2"/>
        <v>0</v>
      </c>
      <c r="F15" s="188">
        <v>0</v>
      </c>
      <c r="G15" s="188">
        <v>0</v>
      </c>
      <c r="H15" s="188">
        <v>0</v>
      </c>
      <c r="I15" s="188">
        <v>0</v>
      </c>
      <c r="J15" s="188">
        <v>2</v>
      </c>
      <c r="K15" s="188">
        <v>0</v>
      </c>
      <c r="L15" s="188">
        <v>0</v>
      </c>
      <c r="M15" s="188">
        <v>0</v>
      </c>
      <c r="N15" s="188">
        <v>0</v>
      </c>
      <c r="O15" s="38"/>
      <c r="P15" s="38"/>
    </row>
    <row r="16" spans="1:15" ht="20.25" customHeight="1">
      <c r="A16" s="171" t="s">
        <v>105</v>
      </c>
      <c r="B16" s="172" t="s">
        <v>106</v>
      </c>
      <c r="C16" s="180">
        <f>C17+C25</f>
        <v>7213</v>
      </c>
      <c r="D16" s="180">
        <f aca="true" t="shared" si="3" ref="D16:N16">D17+D25</f>
        <v>2530</v>
      </c>
      <c r="E16" s="180">
        <f t="shared" si="3"/>
        <v>2187</v>
      </c>
      <c r="F16" s="180">
        <f t="shared" si="3"/>
        <v>228</v>
      </c>
      <c r="G16" s="180">
        <f t="shared" si="3"/>
        <v>1959</v>
      </c>
      <c r="H16" s="180">
        <f t="shared" si="3"/>
        <v>12</v>
      </c>
      <c r="I16" s="180">
        <f t="shared" si="3"/>
        <v>2247</v>
      </c>
      <c r="J16" s="180">
        <f t="shared" si="3"/>
        <v>207</v>
      </c>
      <c r="K16" s="180">
        <f t="shared" si="3"/>
        <v>2</v>
      </c>
      <c r="L16" s="180">
        <f t="shared" si="3"/>
        <v>1</v>
      </c>
      <c r="M16" s="180">
        <f t="shared" si="3"/>
        <v>0</v>
      </c>
      <c r="N16" s="180">
        <f t="shared" si="3"/>
        <v>27</v>
      </c>
      <c r="O16" s="38"/>
    </row>
    <row r="17" spans="1:15" ht="18.75" customHeight="1">
      <c r="A17" s="171" t="s">
        <v>37</v>
      </c>
      <c r="B17" s="173" t="s">
        <v>107</v>
      </c>
      <c r="C17" s="180">
        <f t="shared" si="1"/>
        <v>5907</v>
      </c>
      <c r="D17" s="178">
        <f>D18+D19+D20+D21+D22+D23+D24</f>
        <v>2206</v>
      </c>
      <c r="E17" s="181">
        <f t="shared" si="2"/>
        <v>1277</v>
      </c>
      <c r="F17" s="178">
        <f>F18+F19+F20+F21+F22+F23+F24</f>
        <v>140</v>
      </c>
      <c r="G17" s="178">
        <f aca="true" t="shared" si="4" ref="G17:N17">G18+G19+G20+G21+G22+G23+G24</f>
        <v>1137</v>
      </c>
      <c r="H17" s="178">
        <f t="shared" si="4"/>
        <v>12</v>
      </c>
      <c r="I17" s="178">
        <f t="shared" si="4"/>
        <v>2186</v>
      </c>
      <c r="J17" s="178">
        <f t="shared" si="4"/>
        <v>196</v>
      </c>
      <c r="K17" s="178">
        <f t="shared" si="4"/>
        <v>2</v>
      </c>
      <c r="L17" s="178">
        <f t="shared" si="4"/>
        <v>1</v>
      </c>
      <c r="M17" s="178">
        <f t="shared" si="4"/>
        <v>0</v>
      </c>
      <c r="N17" s="178">
        <f t="shared" si="4"/>
        <v>27</v>
      </c>
      <c r="O17" s="38"/>
    </row>
    <row r="18" spans="1:15" ht="21" customHeight="1">
      <c r="A18" s="43" t="s">
        <v>39</v>
      </c>
      <c r="B18" s="168" t="s">
        <v>108</v>
      </c>
      <c r="C18" s="180">
        <f t="shared" si="1"/>
        <v>3556</v>
      </c>
      <c r="D18" s="189">
        <f>105+79+66+89+152+64+233+119+131+9</f>
        <v>1047</v>
      </c>
      <c r="E18" s="181">
        <f t="shared" si="2"/>
        <v>629</v>
      </c>
      <c r="F18" s="189">
        <f>4+37+6+17+0</f>
        <v>64</v>
      </c>
      <c r="G18" s="189">
        <f>13+58+50+38+46+64+47+97+54+85+13+0</f>
        <v>565</v>
      </c>
      <c r="H18" s="189">
        <v>10</v>
      </c>
      <c r="I18" s="189">
        <f>34+170+177+274+122+252+147+187+234+217+9-71</f>
        <v>1752</v>
      </c>
      <c r="J18" s="189">
        <f>17+65+2+1+1+9+1</f>
        <v>96</v>
      </c>
      <c r="K18" s="189">
        <v>0</v>
      </c>
      <c r="L18" s="189">
        <v>0</v>
      </c>
      <c r="M18" s="189">
        <v>0</v>
      </c>
      <c r="N18" s="186">
        <v>22</v>
      </c>
      <c r="O18" s="38"/>
    </row>
    <row r="19" spans="1:15" ht="21" customHeight="1">
      <c r="A19" s="43" t="s">
        <v>40</v>
      </c>
      <c r="B19" s="168" t="s">
        <v>109</v>
      </c>
      <c r="C19" s="180">
        <f t="shared" si="1"/>
        <v>43</v>
      </c>
      <c r="D19" s="189">
        <v>9</v>
      </c>
      <c r="E19" s="181">
        <f t="shared" si="2"/>
        <v>28</v>
      </c>
      <c r="F19" s="189">
        <v>1</v>
      </c>
      <c r="G19" s="189">
        <v>27</v>
      </c>
      <c r="H19" s="189">
        <v>0</v>
      </c>
      <c r="I19" s="189">
        <v>6</v>
      </c>
      <c r="J19" s="189">
        <v>0</v>
      </c>
      <c r="K19" s="189">
        <v>0</v>
      </c>
      <c r="L19" s="189">
        <v>0</v>
      </c>
      <c r="M19" s="189">
        <v>0</v>
      </c>
      <c r="N19" s="186">
        <v>0</v>
      </c>
      <c r="O19" s="38"/>
    </row>
    <row r="20" spans="1:15" ht="21" customHeight="1">
      <c r="A20" s="43" t="s">
        <v>110</v>
      </c>
      <c r="B20" s="168" t="s">
        <v>111</v>
      </c>
      <c r="C20" s="180">
        <f t="shared" si="1"/>
        <v>2086</v>
      </c>
      <c r="D20" s="186">
        <f>40+165+140+102+23+120+72+116+90+153+5</f>
        <v>1026</v>
      </c>
      <c r="E20" s="181">
        <f t="shared" si="2"/>
        <v>565</v>
      </c>
      <c r="F20" s="186">
        <f>2+1+1+19+14+29+0</f>
        <v>66</v>
      </c>
      <c r="G20" s="186">
        <f>31+120+24+28+18+35+34+107+51+49+2</f>
        <v>499</v>
      </c>
      <c r="H20" s="186">
        <v>2</v>
      </c>
      <c r="I20" s="186">
        <f>35+83+44+19+39+51+100+25+9+0</f>
        <v>405</v>
      </c>
      <c r="J20" s="186">
        <f>1+13+1+20+7+6+21+12</f>
        <v>81</v>
      </c>
      <c r="K20" s="186">
        <v>2</v>
      </c>
      <c r="L20" s="186">
        <v>0</v>
      </c>
      <c r="M20" s="186">
        <v>0</v>
      </c>
      <c r="N20" s="186">
        <v>5</v>
      </c>
      <c r="O20" s="38"/>
    </row>
    <row r="21" spans="1:15" ht="22.5" customHeight="1">
      <c r="A21" s="43" t="s">
        <v>112</v>
      </c>
      <c r="B21" s="168" t="s">
        <v>113</v>
      </c>
      <c r="C21" s="180">
        <f t="shared" si="1"/>
        <v>53</v>
      </c>
      <c r="D21" s="189">
        <v>23</v>
      </c>
      <c r="E21" s="181">
        <f t="shared" si="2"/>
        <v>26</v>
      </c>
      <c r="F21" s="189">
        <v>1</v>
      </c>
      <c r="G21" s="189">
        <f>14+2+1+3+2+3+0</f>
        <v>25</v>
      </c>
      <c r="H21" s="189">
        <v>0</v>
      </c>
      <c r="I21" s="189">
        <v>3</v>
      </c>
      <c r="J21" s="189">
        <v>1</v>
      </c>
      <c r="K21" s="189">
        <v>0</v>
      </c>
      <c r="L21" s="189">
        <v>0</v>
      </c>
      <c r="M21" s="189">
        <v>0</v>
      </c>
      <c r="N21" s="186">
        <v>0</v>
      </c>
      <c r="O21" s="38"/>
    </row>
    <row r="22" spans="1:15" ht="21.75" customHeight="1">
      <c r="A22" s="43" t="s">
        <v>114</v>
      </c>
      <c r="B22" s="168" t="s">
        <v>115</v>
      </c>
      <c r="C22" s="180">
        <f t="shared" si="1"/>
        <v>10</v>
      </c>
      <c r="D22" s="189">
        <v>6</v>
      </c>
      <c r="E22" s="181">
        <f t="shared" si="2"/>
        <v>0</v>
      </c>
      <c r="F22" s="189">
        <v>0</v>
      </c>
      <c r="G22" s="189">
        <v>0</v>
      </c>
      <c r="H22" s="189">
        <v>0</v>
      </c>
      <c r="I22" s="189">
        <v>3</v>
      </c>
      <c r="J22" s="189">
        <v>1</v>
      </c>
      <c r="K22" s="189">
        <v>0</v>
      </c>
      <c r="L22" s="189">
        <v>0</v>
      </c>
      <c r="M22" s="189">
        <v>0</v>
      </c>
      <c r="N22" s="186">
        <v>0</v>
      </c>
      <c r="O22" s="38"/>
    </row>
    <row r="23" spans="1:15" ht="25.5">
      <c r="A23" s="43" t="s">
        <v>116</v>
      </c>
      <c r="B23" s="55" t="s">
        <v>117</v>
      </c>
      <c r="C23" s="180">
        <f t="shared" si="1"/>
        <v>0</v>
      </c>
      <c r="D23" s="186">
        <v>0</v>
      </c>
      <c r="E23" s="181">
        <f t="shared" si="2"/>
        <v>0</v>
      </c>
      <c r="F23" s="186">
        <v>0</v>
      </c>
      <c r="G23" s="186">
        <v>0</v>
      </c>
      <c r="H23" s="186">
        <v>0</v>
      </c>
      <c r="I23" s="186">
        <v>0</v>
      </c>
      <c r="J23" s="186">
        <v>0</v>
      </c>
      <c r="K23" s="186">
        <v>0</v>
      </c>
      <c r="L23" s="186">
        <v>0</v>
      </c>
      <c r="M23" s="186">
        <v>0</v>
      </c>
      <c r="N23" s="186">
        <v>0</v>
      </c>
      <c r="O23" s="38"/>
    </row>
    <row r="24" spans="1:15" ht="24" customHeight="1">
      <c r="A24" s="43" t="s">
        <v>118</v>
      </c>
      <c r="B24" s="168" t="s">
        <v>119</v>
      </c>
      <c r="C24" s="180">
        <f t="shared" si="1"/>
        <v>159</v>
      </c>
      <c r="D24" s="186">
        <f>12+74+9+0</f>
        <v>95</v>
      </c>
      <c r="E24" s="181">
        <f t="shared" si="2"/>
        <v>29</v>
      </c>
      <c r="F24" s="186">
        <f>8</f>
        <v>8</v>
      </c>
      <c r="G24" s="186">
        <v>21</v>
      </c>
      <c r="H24" s="186">
        <v>0</v>
      </c>
      <c r="I24" s="186">
        <v>17</v>
      </c>
      <c r="J24" s="186">
        <v>17</v>
      </c>
      <c r="K24" s="186">
        <v>0</v>
      </c>
      <c r="L24" s="186">
        <v>1</v>
      </c>
      <c r="M24" s="186">
        <v>0</v>
      </c>
      <c r="N24" s="186">
        <v>0</v>
      </c>
      <c r="O24" s="38"/>
    </row>
    <row r="25" spans="1:15" ht="22.5" customHeight="1">
      <c r="A25" s="171" t="s">
        <v>38</v>
      </c>
      <c r="B25" s="172" t="s">
        <v>120</v>
      </c>
      <c r="C25" s="180">
        <f t="shared" si="1"/>
        <v>1306</v>
      </c>
      <c r="D25" s="180">
        <f>8+17+7+23+19+28+12+36+93+72+9</f>
        <v>324</v>
      </c>
      <c r="E25" s="181">
        <f t="shared" si="2"/>
        <v>910</v>
      </c>
      <c r="F25" s="180">
        <f>2+23+24+22+10+3+1+3+0</f>
        <v>88</v>
      </c>
      <c r="G25" s="180">
        <f>6+77+47+85+25+58+56+96+128+189+55</f>
        <v>822</v>
      </c>
      <c r="H25" s="180">
        <v>0</v>
      </c>
      <c r="I25" s="180">
        <f>26+22+13</f>
        <v>61</v>
      </c>
      <c r="J25" s="180">
        <v>11</v>
      </c>
      <c r="K25" s="180">
        <v>0</v>
      </c>
      <c r="L25" s="180">
        <v>0</v>
      </c>
      <c r="M25" s="180">
        <v>0</v>
      </c>
      <c r="N25" s="190">
        <v>0</v>
      </c>
      <c r="O25" s="38"/>
    </row>
    <row r="26" spans="1:15" s="49" customFormat="1" ht="26.25" thickBot="1">
      <c r="A26" s="327" t="s">
        <v>43</v>
      </c>
      <c r="B26" s="328" t="s">
        <v>121</v>
      </c>
      <c r="C26" s="353">
        <f>(C18+C19)/C17*100</f>
        <v>60.92771288302015</v>
      </c>
      <c r="D26" s="353">
        <f aca="true" t="shared" si="5" ref="D26:N26">(D18+D19)/D17*100</f>
        <v>47.86944696282865</v>
      </c>
      <c r="E26" s="353">
        <f t="shared" si="5"/>
        <v>51.448707909162096</v>
      </c>
      <c r="F26" s="353">
        <f t="shared" si="5"/>
        <v>46.42857142857143</v>
      </c>
      <c r="G26" s="353">
        <f t="shared" si="5"/>
        <v>52.06684256816183</v>
      </c>
      <c r="H26" s="353">
        <f t="shared" si="5"/>
        <v>83.33333333333334</v>
      </c>
      <c r="I26" s="353">
        <f t="shared" si="5"/>
        <v>80.42086001829826</v>
      </c>
      <c r="J26" s="353">
        <f t="shared" si="5"/>
        <v>48.97959183673469</v>
      </c>
      <c r="K26" s="353">
        <f t="shared" si="5"/>
        <v>0</v>
      </c>
      <c r="L26" s="353">
        <f t="shared" si="5"/>
        <v>0</v>
      </c>
      <c r="M26" s="353" t="e">
        <f t="shared" si="5"/>
        <v>#DIV/0!</v>
      </c>
      <c r="N26" s="353">
        <f t="shared" si="5"/>
        <v>81.48148148148148</v>
      </c>
      <c r="O26" s="38"/>
    </row>
    <row r="27" spans="1:14" s="49" customFormat="1" ht="15.75" customHeight="1" thickTop="1">
      <c r="A27" s="50"/>
      <c r="B27" s="44"/>
      <c r="J27" s="154"/>
      <c r="K27" s="154"/>
      <c r="L27" s="154"/>
      <c r="M27" s="1358" t="s">
        <v>7</v>
      </c>
      <c r="N27" s="1358"/>
    </row>
    <row r="28" spans="1:14" s="49" customFormat="1" ht="17.25" customHeight="1">
      <c r="A28" s="51"/>
      <c r="B28" s="44"/>
      <c r="C28" s="352">
        <f>C25+C17+C14-C11</f>
        <v>0</v>
      </c>
      <c r="D28" s="352">
        <f aca="true" t="shared" si="6" ref="D28:N28">D25+D17+D14-D11</f>
        <v>0</v>
      </c>
      <c r="E28" s="352">
        <f t="shared" si="6"/>
        <v>0</v>
      </c>
      <c r="F28" s="352">
        <f t="shared" si="6"/>
        <v>0</v>
      </c>
      <c r="G28" s="352">
        <f t="shared" si="6"/>
        <v>0</v>
      </c>
      <c r="H28" s="352">
        <f t="shared" si="6"/>
        <v>0</v>
      </c>
      <c r="I28" s="352">
        <f t="shared" si="6"/>
        <v>0</v>
      </c>
      <c r="J28" s="352">
        <f t="shared" si="6"/>
        <v>0</v>
      </c>
      <c r="K28" s="352">
        <f t="shared" si="6"/>
        <v>0</v>
      </c>
      <c r="L28" s="352">
        <f t="shared" si="6"/>
        <v>0</v>
      </c>
      <c r="M28" s="352">
        <f t="shared" si="6"/>
        <v>0</v>
      </c>
      <c r="N28" s="352">
        <f t="shared" si="6"/>
        <v>0</v>
      </c>
    </row>
    <row r="29" spans="1:13" s="38" customFormat="1" ht="21.75" customHeight="1">
      <c r="A29" s="5"/>
      <c r="B29" s="56"/>
      <c r="C29" s="39"/>
      <c r="D29" s="39"/>
      <c r="E29" s="39"/>
      <c r="F29" s="39"/>
      <c r="G29" s="39"/>
      <c r="H29" s="39"/>
      <c r="I29" s="1335"/>
      <c r="J29" s="1335"/>
      <c r="K29" s="1335"/>
      <c r="L29" s="1335"/>
      <c r="M29" s="1335"/>
    </row>
    <row r="30" spans="1:10" s="38" customFormat="1" ht="21.75" customHeight="1">
      <c r="A30" s="5"/>
      <c r="B30" s="44"/>
      <c r="C30" s="45"/>
      <c r="D30" s="45"/>
      <c r="E30" s="45"/>
      <c r="I30" s="46"/>
      <c r="J30" s="46"/>
    </row>
    <row r="31" spans="1:10" s="38" customFormat="1" ht="21.75" customHeight="1">
      <c r="A31" s="46"/>
      <c r="B31" s="46"/>
      <c r="C31" s="45"/>
      <c r="D31" s="45"/>
      <c r="E31" s="45"/>
      <c r="I31" s="46"/>
      <c r="J31" s="46"/>
    </row>
    <row r="32" spans="1:10" s="38" customFormat="1" ht="21.75" customHeight="1">
      <c r="A32" s="46"/>
      <c r="B32" s="46"/>
      <c r="C32" s="45"/>
      <c r="D32" s="45"/>
      <c r="E32" s="45"/>
      <c r="F32" s="38" t="s">
        <v>3</v>
      </c>
      <c r="I32" s="1349"/>
      <c r="J32" s="1349"/>
    </row>
    <row r="33" spans="1:10" s="38" customFormat="1" ht="21.75" customHeight="1">
      <c r="A33" s="9"/>
      <c r="B33" s="41"/>
      <c r="C33" s="45"/>
      <c r="D33" s="45" t="s">
        <v>3</v>
      </c>
      <c r="E33" s="45"/>
      <c r="I33" s="1335"/>
      <c r="J33" s="1335"/>
    </row>
    <row r="34" s="38" customFormat="1" ht="19.5" customHeight="1">
      <c r="A34" s="6"/>
    </row>
    <row r="35" spans="1:13" ht="24" customHeight="1">
      <c r="A35" s="1336"/>
      <c r="B35" s="1336"/>
      <c r="C35" s="38"/>
      <c r="D35" s="38"/>
      <c r="E35" s="38"/>
      <c r="F35" s="38"/>
      <c r="G35" s="38"/>
      <c r="H35" s="38"/>
      <c r="I35" s="1336"/>
      <c r="J35" s="1336"/>
      <c r="K35" s="38"/>
      <c r="L35" s="38"/>
      <c r="M35" s="38"/>
    </row>
    <row r="36" spans="1:13" ht="17.25" customHeight="1">
      <c r="A36" s="1347"/>
      <c r="B36" s="1347"/>
      <c r="C36" s="38"/>
      <c r="D36" s="38"/>
      <c r="E36" s="38"/>
      <c r="F36" s="38"/>
      <c r="G36" s="38"/>
      <c r="H36" s="38"/>
      <c r="I36" s="1347"/>
      <c r="J36" s="1347"/>
      <c r="K36" s="38"/>
      <c r="L36" s="38"/>
      <c r="M36" s="38"/>
    </row>
    <row r="37" spans="1:13" ht="17.25" customHeight="1">
      <c r="A37" s="1347"/>
      <c r="B37" s="1347"/>
      <c r="C37" s="38"/>
      <c r="D37" s="38"/>
      <c r="E37" s="38"/>
      <c r="F37" s="38"/>
      <c r="G37" s="38"/>
      <c r="H37" s="38"/>
      <c r="I37" s="1347"/>
      <c r="J37" s="1347"/>
      <c r="K37" s="38"/>
      <c r="L37" s="38"/>
      <c r="M37" s="38"/>
    </row>
    <row r="38" spans="1:13" ht="17.25" customHeight="1">
      <c r="A38" s="1347"/>
      <c r="B38" s="1347"/>
      <c r="C38" s="38"/>
      <c r="D38" s="38"/>
      <c r="E38" s="38"/>
      <c r="F38" s="38"/>
      <c r="G38" s="38"/>
      <c r="H38" s="38"/>
      <c r="I38" s="1347"/>
      <c r="J38" s="1347"/>
      <c r="K38" s="38"/>
      <c r="L38" s="38"/>
      <c r="M38" s="38"/>
    </row>
    <row r="39" spans="1:13" ht="17.25" customHeight="1">
      <c r="A39" s="1347"/>
      <c r="B39" s="1347"/>
      <c r="C39" s="38"/>
      <c r="D39" s="38"/>
      <c r="E39" s="38"/>
      <c r="F39" s="38"/>
      <c r="G39" s="38"/>
      <c r="H39" s="38"/>
      <c r="I39" s="1347"/>
      <c r="J39" s="1347"/>
      <c r="K39" s="38"/>
      <c r="L39" s="38"/>
      <c r="M39" s="38"/>
    </row>
    <row r="40" spans="1:13" ht="15">
      <c r="A40" s="6"/>
      <c r="B40" s="38"/>
      <c r="C40" s="38"/>
      <c r="D40" s="38"/>
      <c r="E40" s="38"/>
      <c r="F40" s="38"/>
      <c r="G40" s="38"/>
      <c r="H40" s="38"/>
      <c r="I40" s="1347"/>
      <c r="J40" s="1347"/>
      <c r="K40" s="38"/>
      <c r="L40" s="38"/>
      <c r="M40" s="38"/>
    </row>
    <row r="41" spans="1:13" ht="15">
      <c r="A41" s="6"/>
      <c r="B41" s="38"/>
      <c r="C41" s="38"/>
      <c r="D41" s="38"/>
      <c r="E41" s="38"/>
      <c r="F41" s="38"/>
      <c r="G41" s="38"/>
      <c r="H41" s="38"/>
      <c r="I41" s="40"/>
      <c r="J41" s="40"/>
      <c r="K41" s="38"/>
      <c r="L41" s="38"/>
      <c r="M41" s="38"/>
    </row>
    <row r="42" spans="1:13" ht="17.25">
      <c r="A42" s="6"/>
      <c r="B42" s="1336"/>
      <c r="C42" s="1336"/>
      <c r="D42" s="1336"/>
      <c r="E42" s="1336"/>
      <c r="F42" s="1336"/>
      <c r="G42" s="47"/>
      <c r="H42" s="47"/>
      <c r="I42" s="38"/>
      <c r="J42" s="38"/>
      <c r="K42" s="38"/>
      <c r="L42" s="38"/>
      <c r="M42" s="38"/>
    </row>
    <row r="43" spans="1:13" ht="15.75">
      <c r="A43" s="6"/>
      <c r="B43" s="1347"/>
      <c r="C43" s="1347"/>
      <c r="D43" s="1347"/>
      <c r="E43" s="1347"/>
      <c r="F43" s="1347"/>
      <c r="G43" s="40"/>
      <c r="H43" s="40"/>
      <c r="I43" s="38"/>
      <c r="J43" s="38"/>
      <c r="K43" s="48"/>
      <c r="L43" s="48"/>
      <c r="M43" s="48"/>
    </row>
    <row r="44" spans="1:13" ht="15">
      <c r="A44" s="6"/>
      <c r="B44" s="1347"/>
      <c r="C44" s="1347"/>
      <c r="D44" s="1347"/>
      <c r="E44" s="1347"/>
      <c r="F44" s="1347"/>
      <c r="G44" s="40"/>
      <c r="H44" s="40"/>
      <c r="I44" s="38"/>
      <c r="J44" s="38"/>
      <c r="K44" s="38"/>
      <c r="L44" s="38"/>
      <c r="M44" s="38"/>
    </row>
    <row r="45" spans="1:13" ht="15">
      <c r="A45" s="6"/>
      <c r="B45" s="1347"/>
      <c r="C45" s="1347"/>
      <c r="D45" s="1347"/>
      <c r="E45" s="1347"/>
      <c r="F45" s="1347"/>
      <c r="G45" s="40"/>
      <c r="H45" s="40"/>
      <c r="I45" s="38"/>
      <c r="J45" s="38"/>
      <c r="K45" s="38"/>
      <c r="L45" s="38"/>
      <c r="M45" s="38"/>
    </row>
    <row r="46" spans="1:13" ht="15">
      <c r="A46" s="6"/>
      <c r="B46" s="1347"/>
      <c r="C46" s="1347"/>
      <c r="D46" s="1347"/>
      <c r="E46" s="1347"/>
      <c r="F46" s="1347"/>
      <c r="G46" s="40"/>
      <c r="H46" s="40"/>
      <c r="I46" s="38"/>
      <c r="J46" s="38"/>
      <c r="K46" s="38"/>
      <c r="L46" s="38"/>
      <c r="M46" s="38"/>
    </row>
    <row r="47" spans="1:13" ht="15">
      <c r="A47" s="6"/>
      <c r="B47" s="38"/>
      <c r="C47" s="38"/>
      <c r="D47" s="38"/>
      <c r="E47" s="38"/>
      <c r="F47" s="38"/>
      <c r="G47" s="38"/>
      <c r="H47" s="38"/>
      <c r="I47" s="38"/>
      <c r="J47" s="38"/>
      <c r="K47" s="38"/>
      <c r="L47" s="38"/>
      <c r="M47" s="38"/>
    </row>
    <row r="48" spans="1:13" ht="15.75">
      <c r="A48" s="6"/>
      <c r="B48" s="54"/>
      <c r="C48" s="38"/>
      <c r="D48" s="38"/>
      <c r="E48" s="38"/>
      <c r="F48" s="38"/>
      <c r="G48" s="38"/>
      <c r="H48" s="38"/>
      <c r="I48" s="38"/>
      <c r="J48" s="38"/>
      <c r="K48" s="38"/>
      <c r="L48" s="38"/>
      <c r="M48" s="38"/>
    </row>
    <row r="49" spans="1:13" ht="15">
      <c r="A49" s="6"/>
      <c r="B49" s="38"/>
      <c r="C49" s="38"/>
      <c r="D49" s="38"/>
      <c r="E49" s="38"/>
      <c r="F49" s="38"/>
      <c r="G49" s="38"/>
      <c r="H49" s="38"/>
      <c r="I49" s="38"/>
      <c r="J49" s="38"/>
      <c r="K49" s="38"/>
      <c r="L49" s="38"/>
      <c r="M49" s="38"/>
    </row>
    <row r="50" spans="1:13" ht="15">
      <c r="A50" s="6"/>
      <c r="B50" s="38"/>
      <c r="C50" s="38"/>
      <c r="D50" s="38"/>
      <c r="E50" s="38"/>
      <c r="F50" s="38"/>
      <c r="G50" s="38"/>
      <c r="H50" s="38"/>
      <c r="I50" s="38"/>
      <c r="J50" s="38"/>
      <c r="K50" s="38"/>
      <c r="L50" s="38"/>
      <c r="M50" s="38"/>
    </row>
    <row r="51" spans="1:13" ht="15">
      <c r="A51" s="6"/>
      <c r="B51" s="38"/>
      <c r="C51" s="38"/>
      <c r="D51" s="38"/>
      <c r="E51" s="38"/>
      <c r="F51" s="38"/>
      <c r="G51" s="38"/>
      <c r="H51" s="38"/>
      <c r="I51" s="38"/>
      <c r="J51" s="38"/>
      <c r="K51" s="38"/>
      <c r="L51" s="38"/>
      <c r="M51" s="38"/>
    </row>
    <row r="52" spans="1:13" ht="15">
      <c r="A52" s="6"/>
      <c r="B52" s="38"/>
      <c r="C52" s="38"/>
      <c r="D52" s="38"/>
      <c r="E52" s="38"/>
      <c r="F52" s="38"/>
      <c r="G52" s="38"/>
      <c r="H52" s="38"/>
      <c r="I52" s="38"/>
      <c r="J52" s="38"/>
      <c r="K52" s="38"/>
      <c r="L52" s="38"/>
      <c r="M52" s="38"/>
    </row>
    <row r="53" spans="1:13" ht="15">
      <c r="A53" s="6"/>
      <c r="B53" s="38"/>
      <c r="C53" s="38"/>
      <c r="D53" s="38"/>
      <c r="E53" s="38"/>
      <c r="F53" s="38"/>
      <c r="G53" s="38"/>
      <c r="H53" s="38"/>
      <c r="I53" s="38"/>
      <c r="J53" s="38"/>
      <c r="K53" s="38"/>
      <c r="L53" s="38"/>
      <c r="M53" s="38"/>
    </row>
    <row r="54" spans="1:13" ht="15">
      <c r="A54" s="6"/>
      <c r="B54" s="38"/>
      <c r="C54" s="38"/>
      <c r="D54" s="38"/>
      <c r="E54" s="38"/>
      <c r="F54" s="38"/>
      <c r="G54" s="38"/>
      <c r="H54" s="38"/>
      <c r="I54" s="38"/>
      <c r="J54" s="38"/>
      <c r="K54" s="38"/>
      <c r="L54" s="38"/>
      <c r="M54" s="38"/>
    </row>
    <row r="55" spans="1:13" ht="15">
      <c r="A55" s="6"/>
      <c r="B55" s="38"/>
      <c r="C55" s="38"/>
      <c r="D55" s="38"/>
      <c r="E55" s="38"/>
      <c r="F55" s="38"/>
      <c r="G55" s="38"/>
      <c r="H55" s="38"/>
      <c r="I55" s="38"/>
      <c r="J55" s="38"/>
      <c r="K55" s="38"/>
      <c r="L55" s="38"/>
      <c r="M55" s="38"/>
    </row>
    <row r="56" spans="1:13" ht="15">
      <c r="A56" s="6"/>
      <c r="B56" s="38"/>
      <c r="C56" s="38"/>
      <c r="D56" s="38"/>
      <c r="E56" s="38"/>
      <c r="F56" s="38"/>
      <c r="G56" s="38"/>
      <c r="H56" s="38"/>
      <c r="I56" s="38"/>
      <c r="J56" s="38"/>
      <c r="K56" s="38"/>
      <c r="L56" s="38"/>
      <c r="M56" s="38"/>
    </row>
    <row r="57" spans="1:13" ht="15">
      <c r="A57" s="6"/>
      <c r="B57" s="38"/>
      <c r="C57" s="38"/>
      <c r="D57" s="38"/>
      <c r="E57" s="38"/>
      <c r="F57" s="38"/>
      <c r="G57" s="38"/>
      <c r="H57" s="38"/>
      <c r="I57" s="38"/>
      <c r="J57" s="38"/>
      <c r="K57" s="38"/>
      <c r="L57" s="38"/>
      <c r="M57" s="38"/>
    </row>
    <row r="58" spans="1:13" ht="15">
      <c r="A58" s="6"/>
      <c r="B58" s="38"/>
      <c r="C58" s="38"/>
      <c r="D58" s="38"/>
      <c r="E58" s="38"/>
      <c r="F58" s="38"/>
      <c r="G58" s="38"/>
      <c r="H58" s="38"/>
      <c r="I58" s="38"/>
      <c r="J58" s="38"/>
      <c r="K58" s="38"/>
      <c r="L58" s="38"/>
      <c r="M58" s="38"/>
    </row>
    <row r="59" spans="1:13" ht="15">
      <c r="A59" s="6"/>
      <c r="B59" s="38"/>
      <c r="C59" s="38"/>
      <c r="D59" s="38"/>
      <c r="E59" s="38"/>
      <c r="F59" s="38"/>
      <c r="G59" s="38"/>
      <c r="H59" s="38"/>
      <c r="I59" s="38"/>
      <c r="J59" s="38"/>
      <c r="K59" s="38"/>
      <c r="L59" s="38"/>
      <c r="M59" s="38"/>
    </row>
    <row r="60" spans="1:13" ht="15">
      <c r="A60" s="6"/>
      <c r="B60" s="38"/>
      <c r="C60" s="38"/>
      <c r="D60" s="38"/>
      <c r="E60" s="38"/>
      <c r="F60" s="38"/>
      <c r="G60" s="38"/>
      <c r="H60" s="38"/>
      <c r="I60" s="38"/>
      <c r="J60" s="38"/>
      <c r="K60" s="38"/>
      <c r="L60" s="38"/>
      <c r="M60" s="38"/>
    </row>
    <row r="61" spans="1:13" ht="15">
      <c r="A61" s="6"/>
      <c r="B61" s="38"/>
      <c r="C61" s="38"/>
      <c r="D61" s="38"/>
      <c r="E61" s="38"/>
      <c r="F61" s="38"/>
      <c r="G61" s="38"/>
      <c r="H61" s="38"/>
      <c r="I61" s="38"/>
      <c r="J61" s="38"/>
      <c r="K61" s="38"/>
      <c r="L61" s="38"/>
      <c r="M61" s="38"/>
    </row>
    <row r="62" spans="1:13" ht="15">
      <c r="A62" s="6"/>
      <c r="B62" s="38"/>
      <c r="C62" s="38"/>
      <c r="D62" s="38"/>
      <c r="E62" s="38"/>
      <c r="F62" s="38"/>
      <c r="G62" s="38"/>
      <c r="H62" s="38"/>
      <c r="I62" s="38"/>
      <c r="J62" s="38"/>
      <c r="K62" s="38"/>
      <c r="L62" s="38"/>
      <c r="M62" s="38"/>
    </row>
    <row r="63" spans="1:13" ht="15">
      <c r="A63" s="6"/>
      <c r="B63" s="38"/>
      <c r="C63" s="38"/>
      <c r="D63" s="38"/>
      <c r="E63" s="38"/>
      <c r="F63" s="38"/>
      <c r="G63" s="38"/>
      <c r="H63" s="38"/>
      <c r="I63" s="38"/>
      <c r="J63" s="38"/>
      <c r="K63" s="38"/>
      <c r="L63" s="38"/>
      <c r="M63" s="38"/>
    </row>
    <row r="64" spans="1:13" ht="15">
      <c r="A64" s="6"/>
      <c r="B64" s="38"/>
      <c r="C64" s="38"/>
      <c r="D64" s="38"/>
      <c r="E64" s="38"/>
      <c r="F64" s="38"/>
      <c r="G64" s="38"/>
      <c r="H64" s="38"/>
      <c r="I64" s="38"/>
      <c r="J64" s="38"/>
      <c r="K64" s="38"/>
      <c r="L64" s="38"/>
      <c r="M64" s="38"/>
    </row>
  </sheetData>
  <sheetProtection/>
  <mergeCells count="47">
    <mergeCell ref="A6:B9"/>
    <mergeCell ref="C6:C9"/>
    <mergeCell ref="D6:N6"/>
    <mergeCell ref="D7:D9"/>
    <mergeCell ref="E7:G7"/>
    <mergeCell ref="M7:M9"/>
    <mergeCell ref="N7:N9"/>
    <mergeCell ref="E8:E9"/>
    <mergeCell ref="F8:G8"/>
    <mergeCell ref="H7:H9"/>
    <mergeCell ref="D3:K3"/>
    <mergeCell ref="L3:N3"/>
    <mergeCell ref="O8:P8"/>
    <mergeCell ref="J7:J9"/>
    <mergeCell ref="K7:K9"/>
    <mergeCell ref="L4:N4"/>
    <mergeCell ref="L5:N5"/>
    <mergeCell ref="I7:I9"/>
    <mergeCell ref="L7:L9"/>
    <mergeCell ref="D4:K4"/>
    <mergeCell ref="A1:B1"/>
    <mergeCell ref="D1:K1"/>
    <mergeCell ref="L1:N1"/>
    <mergeCell ref="D2:K2"/>
    <mergeCell ref="L2:N2"/>
    <mergeCell ref="A10:B10"/>
    <mergeCell ref="I29:J29"/>
    <mergeCell ref="K29:M29"/>
    <mergeCell ref="M27:N27"/>
    <mergeCell ref="A38:B38"/>
    <mergeCell ref="B45:F45"/>
    <mergeCell ref="I32:J32"/>
    <mergeCell ref="I33:J33"/>
    <mergeCell ref="I35:J35"/>
    <mergeCell ref="A35:B35"/>
    <mergeCell ref="A36:B36"/>
    <mergeCell ref="I36:J36"/>
    <mergeCell ref="B46:F46"/>
    <mergeCell ref="I37:J37"/>
    <mergeCell ref="I38:J38"/>
    <mergeCell ref="I39:J39"/>
    <mergeCell ref="I40:J40"/>
    <mergeCell ref="A39:B39"/>
    <mergeCell ref="A37:B37"/>
    <mergeCell ref="B44:F44"/>
    <mergeCell ref="B42:F42"/>
    <mergeCell ref="B43:F43"/>
  </mergeCells>
  <printOptions/>
  <pageMargins left="0.22" right="0" top="0" bottom="0" header="0.23"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3"/>
  </sheetPr>
  <dimension ref="A1:O36"/>
  <sheetViews>
    <sheetView zoomScalePageLayoutView="0" workbookViewId="0" topLeftCell="A10">
      <selection activeCell="A11" sqref="A11:J23"/>
    </sheetView>
  </sheetViews>
  <sheetFormatPr defaultColWidth="9.00390625" defaultRowHeight="15.75"/>
  <cols>
    <col min="1" max="1" width="4.00390625" style="142" customWidth="1"/>
    <col min="2" max="2" width="29.625" style="142" customWidth="1"/>
    <col min="3" max="3" width="13.50390625" style="142" customWidth="1"/>
    <col min="4" max="4" width="11.75390625" style="142" customWidth="1"/>
    <col min="5" max="5" width="11.625" style="142" customWidth="1"/>
    <col min="6" max="6" width="14.75390625" style="142" customWidth="1"/>
    <col min="7" max="7" width="12.25390625" style="142" customWidth="1"/>
    <col min="8" max="8" width="11.625" style="142" customWidth="1"/>
    <col min="9" max="9" width="12.625" style="142" customWidth="1"/>
    <col min="10" max="10" width="11.125" style="142" customWidth="1"/>
    <col min="11" max="16384" width="9.00390625" style="142" customWidth="1"/>
  </cols>
  <sheetData>
    <row r="1" spans="1:11" ht="19.5" customHeight="1">
      <c r="A1" s="853" t="s">
        <v>221</v>
      </c>
      <c r="B1" s="853"/>
      <c r="C1" s="797" t="s">
        <v>222</v>
      </c>
      <c r="D1" s="797"/>
      <c r="E1" s="797"/>
      <c r="F1" s="797"/>
      <c r="G1" s="797"/>
      <c r="H1" s="849" t="s">
        <v>358</v>
      </c>
      <c r="I1" s="849"/>
      <c r="J1" s="849"/>
      <c r="K1" s="312"/>
    </row>
    <row r="2" spans="1:11" ht="17.25" customHeight="1">
      <c r="A2" s="130" t="s">
        <v>247</v>
      </c>
      <c r="B2" s="63"/>
      <c r="C2" s="797" t="str">
        <f>'Thông tin'!B2</f>
        <v>6 tháng / năm 2016</v>
      </c>
      <c r="D2" s="797"/>
      <c r="E2" s="797"/>
      <c r="F2" s="797"/>
      <c r="G2" s="797"/>
      <c r="H2" s="850" t="str">
        <f>'Thông tin'!B3</f>
        <v>Cục THADS tỉnh Bình Thuận</v>
      </c>
      <c r="I2" s="850"/>
      <c r="J2" s="850"/>
      <c r="K2" s="307"/>
    </row>
    <row r="3" spans="1:11" ht="15" customHeight="1">
      <c r="A3" s="130" t="s">
        <v>248</v>
      </c>
      <c r="B3" s="130"/>
      <c r="C3" s="847" t="s">
        <v>568</v>
      </c>
      <c r="D3" s="847"/>
      <c r="E3" s="847"/>
      <c r="F3" s="847"/>
      <c r="G3" s="847"/>
      <c r="H3" s="851" t="s">
        <v>359</v>
      </c>
      <c r="I3" s="851"/>
      <c r="J3" s="851"/>
      <c r="K3" s="51"/>
    </row>
    <row r="4" spans="1:11" ht="15" customHeight="1">
      <c r="A4" s="785" t="s">
        <v>86</v>
      </c>
      <c r="B4" s="786"/>
      <c r="C4" s="314" t="s">
        <v>223</v>
      </c>
      <c r="D4" s="314"/>
      <c r="E4" s="314"/>
      <c r="F4" s="314"/>
      <c r="G4" s="314"/>
      <c r="H4" s="850" t="s">
        <v>350</v>
      </c>
      <c r="I4" s="850"/>
      <c r="J4" s="850"/>
      <c r="K4" s="307"/>
    </row>
    <row r="5" spans="1:11" ht="15" customHeight="1">
      <c r="A5" s="854"/>
      <c r="B5" s="854"/>
      <c r="C5" s="166"/>
      <c r="D5" s="166"/>
      <c r="E5" s="166"/>
      <c r="F5" s="166"/>
      <c r="G5" s="166"/>
      <c r="H5" s="803" t="s">
        <v>361</v>
      </c>
      <c r="I5" s="803"/>
      <c r="J5" s="803"/>
      <c r="K5" s="313"/>
    </row>
    <row r="6" spans="1:10" s="144" customFormat="1" ht="25.5" customHeight="1">
      <c r="A6" s="801" t="s">
        <v>61</v>
      </c>
      <c r="B6" s="798"/>
      <c r="C6" s="793" t="s">
        <v>246</v>
      </c>
      <c r="D6" s="794"/>
      <c r="E6" s="794"/>
      <c r="F6" s="790" t="s">
        <v>224</v>
      </c>
      <c r="G6" s="791"/>
      <c r="H6" s="791"/>
      <c r="I6" s="793"/>
      <c r="J6" s="852" t="s">
        <v>225</v>
      </c>
    </row>
    <row r="7" spans="1:10" s="144" customFormat="1" ht="21" customHeight="1">
      <c r="A7" s="799"/>
      <c r="B7" s="800"/>
      <c r="C7" s="792" t="s">
        <v>226</v>
      </c>
      <c r="D7" s="789" t="s">
        <v>6</v>
      </c>
      <c r="E7" s="788"/>
      <c r="F7" s="787" t="s">
        <v>227</v>
      </c>
      <c r="G7" s="835"/>
      <c r="H7" s="836"/>
      <c r="I7" s="804" t="s">
        <v>228</v>
      </c>
      <c r="J7" s="852"/>
    </row>
    <row r="8" spans="1:10" s="144" customFormat="1" ht="21.75" customHeight="1">
      <c r="A8" s="799"/>
      <c r="B8" s="800"/>
      <c r="C8" s="792"/>
      <c r="D8" s="804" t="s">
        <v>229</v>
      </c>
      <c r="E8" s="804" t="s">
        <v>230</v>
      </c>
      <c r="F8" s="804" t="s">
        <v>26</v>
      </c>
      <c r="G8" s="852" t="s">
        <v>6</v>
      </c>
      <c r="H8" s="852"/>
      <c r="I8" s="805"/>
      <c r="J8" s="852"/>
    </row>
    <row r="9" spans="1:10" s="144" customFormat="1" ht="42.75" customHeight="1">
      <c r="A9" s="795"/>
      <c r="B9" s="796"/>
      <c r="C9" s="788"/>
      <c r="D9" s="802"/>
      <c r="E9" s="806"/>
      <c r="F9" s="806"/>
      <c r="G9" s="167" t="s">
        <v>231</v>
      </c>
      <c r="H9" s="167" t="s">
        <v>232</v>
      </c>
      <c r="I9" s="806"/>
      <c r="J9" s="852"/>
    </row>
    <row r="10" spans="1:11" ht="12.75" customHeight="1">
      <c r="A10" s="838" t="s">
        <v>233</v>
      </c>
      <c r="B10" s="839"/>
      <c r="C10" s="257">
        <v>1</v>
      </c>
      <c r="D10" s="257">
        <v>2</v>
      </c>
      <c r="E10" s="257">
        <v>3</v>
      </c>
      <c r="F10" s="257">
        <v>4</v>
      </c>
      <c r="G10" s="257">
        <v>5</v>
      </c>
      <c r="H10" s="257">
        <v>6</v>
      </c>
      <c r="I10" s="257">
        <v>7</v>
      </c>
      <c r="J10" s="257">
        <v>8</v>
      </c>
      <c r="K10" s="144"/>
    </row>
    <row r="11" spans="1:11" ht="18.75" customHeight="1">
      <c r="A11" s="840" t="s">
        <v>27</v>
      </c>
      <c r="B11" s="841"/>
      <c r="C11" s="256">
        <f>C13+C12</f>
        <v>0</v>
      </c>
      <c r="D11" s="256">
        <f aca="true" t="shared" si="0" ref="D11:J11">D13+D12</f>
        <v>0</v>
      </c>
      <c r="E11" s="256">
        <f t="shared" si="0"/>
        <v>0</v>
      </c>
      <c r="F11" s="256">
        <f t="shared" si="0"/>
        <v>0</v>
      </c>
      <c r="G11" s="256">
        <f t="shared" si="0"/>
        <v>0</v>
      </c>
      <c r="H11" s="256">
        <f t="shared" si="0"/>
        <v>0</v>
      </c>
      <c r="I11" s="256">
        <f t="shared" si="0"/>
        <v>0</v>
      </c>
      <c r="J11" s="256">
        <f t="shared" si="0"/>
        <v>0</v>
      </c>
      <c r="K11" s="144"/>
    </row>
    <row r="12" spans="1:11" ht="18.75" customHeight="1">
      <c r="A12" s="245" t="s">
        <v>0</v>
      </c>
      <c r="B12" s="589" t="s">
        <v>220</v>
      </c>
      <c r="C12" s="593">
        <f>D12+E12</f>
        <v>0</v>
      </c>
      <c r="D12" s="594">
        <v>0</v>
      </c>
      <c r="E12" s="594">
        <v>0</v>
      </c>
      <c r="F12" s="593">
        <f>G12+H12</f>
        <v>0</v>
      </c>
      <c r="G12" s="594">
        <v>0</v>
      </c>
      <c r="H12" s="595">
        <v>0</v>
      </c>
      <c r="I12" s="595">
        <v>0</v>
      </c>
      <c r="J12" s="595">
        <v>0</v>
      </c>
      <c r="K12" s="144"/>
    </row>
    <row r="13" spans="1:11" ht="19.5" customHeight="1">
      <c r="A13" s="254" t="s">
        <v>1</v>
      </c>
      <c r="B13" s="590" t="s">
        <v>14</v>
      </c>
      <c r="C13" s="593">
        <f>C14+C15+C16+C17+C18+C19+C20+C21+C22+C23</f>
        <v>0</v>
      </c>
      <c r="D13" s="593">
        <f aca="true" t="shared" si="1" ref="D13:J13">D14+D15+D16+D17+D18+D19+D20+D21+D22+D23</f>
        <v>0</v>
      </c>
      <c r="E13" s="593">
        <f t="shared" si="1"/>
        <v>0</v>
      </c>
      <c r="F13" s="593">
        <f t="shared" si="1"/>
        <v>0</v>
      </c>
      <c r="G13" s="593">
        <f t="shared" si="1"/>
        <v>0</v>
      </c>
      <c r="H13" s="593">
        <f t="shared" si="1"/>
        <v>0</v>
      </c>
      <c r="I13" s="593">
        <f t="shared" si="1"/>
        <v>0</v>
      </c>
      <c r="J13" s="593">
        <f t="shared" si="1"/>
        <v>0</v>
      </c>
      <c r="K13" s="144"/>
    </row>
    <row r="14" spans="1:11" ht="20.25" customHeight="1">
      <c r="A14" s="247">
        <v>1</v>
      </c>
      <c r="B14" s="591" t="s">
        <v>330</v>
      </c>
      <c r="C14" s="593">
        <f>D14+E14</f>
        <v>0</v>
      </c>
      <c r="D14" s="596">
        <v>0</v>
      </c>
      <c r="E14" s="595">
        <v>0</v>
      </c>
      <c r="F14" s="593">
        <f>G14+H14</f>
        <v>0</v>
      </c>
      <c r="G14" s="594">
        <v>0</v>
      </c>
      <c r="H14" s="595">
        <v>0</v>
      </c>
      <c r="I14" s="595">
        <v>0</v>
      </c>
      <c r="J14" s="595">
        <v>0</v>
      </c>
      <c r="K14" s="144"/>
    </row>
    <row r="15" spans="1:11" ht="19.5" customHeight="1">
      <c r="A15" s="247">
        <v>2</v>
      </c>
      <c r="B15" s="591" t="s">
        <v>331</v>
      </c>
      <c r="C15" s="593">
        <f aca="true" t="shared" si="2" ref="C15:C23">D15+E15</f>
        <v>0</v>
      </c>
      <c r="D15" s="596">
        <v>0</v>
      </c>
      <c r="E15" s="595">
        <v>0</v>
      </c>
      <c r="F15" s="593">
        <f aca="true" t="shared" si="3" ref="F15:F23">G15+H15</f>
        <v>0</v>
      </c>
      <c r="G15" s="594">
        <v>0</v>
      </c>
      <c r="H15" s="595">
        <v>0</v>
      </c>
      <c r="I15" s="595">
        <v>0</v>
      </c>
      <c r="J15" s="595">
        <v>0</v>
      </c>
      <c r="K15" s="144"/>
    </row>
    <row r="16" spans="1:11" ht="19.5" customHeight="1">
      <c r="A16" s="247">
        <v>3</v>
      </c>
      <c r="B16" s="591" t="s">
        <v>332</v>
      </c>
      <c r="C16" s="593">
        <f t="shared" si="2"/>
        <v>0</v>
      </c>
      <c r="D16" s="596">
        <v>0</v>
      </c>
      <c r="E16" s="595">
        <v>0</v>
      </c>
      <c r="F16" s="593">
        <f t="shared" si="3"/>
        <v>0</v>
      </c>
      <c r="G16" s="594">
        <v>0</v>
      </c>
      <c r="H16" s="595">
        <v>0</v>
      </c>
      <c r="I16" s="595">
        <v>0</v>
      </c>
      <c r="J16" s="595">
        <v>0</v>
      </c>
      <c r="K16" s="144"/>
    </row>
    <row r="17" spans="1:11" ht="19.5" customHeight="1">
      <c r="A17" s="247">
        <v>4</v>
      </c>
      <c r="B17" s="591" t="s">
        <v>333</v>
      </c>
      <c r="C17" s="593">
        <f t="shared" si="2"/>
        <v>0</v>
      </c>
      <c r="D17" s="596">
        <v>0</v>
      </c>
      <c r="E17" s="595">
        <v>0</v>
      </c>
      <c r="F17" s="593">
        <f t="shared" si="3"/>
        <v>0</v>
      </c>
      <c r="G17" s="594">
        <v>0</v>
      </c>
      <c r="H17" s="595">
        <v>0</v>
      </c>
      <c r="I17" s="595">
        <v>0</v>
      </c>
      <c r="J17" s="595">
        <v>0</v>
      </c>
      <c r="K17" s="144"/>
    </row>
    <row r="18" spans="1:11" ht="19.5" customHeight="1">
      <c r="A18" s="247">
        <v>5</v>
      </c>
      <c r="B18" s="591" t="s">
        <v>334</v>
      </c>
      <c r="C18" s="593">
        <f t="shared" si="2"/>
        <v>0</v>
      </c>
      <c r="D18" s="596">
        <v>0</v>
      </c>
      <c r="E18" s="595">
        <v>0</v>
      </c>
      <c r="F18" s="593">
        <f t="shared" si="3"/>
        <v>0</v>
      </c>
      <c r="G18" s="594">
        <v>0</v>
      </c>
      <c r="H18" s="595">
        <v>0</v>
      </c>
      <c r="I18" s="595">
        <v>0</v>
      </c>
      <c r="J18" s="595">
        <v>0</v>
      </c>
      <c r="K18" s="144"/>
    </row>
    <row r="19" spans="1:11" ht="20.25" customHeight="1">
      <c r="A19" s="247">
        <v>6</v>
      </c>
      <c r="B19" s="591" t="s">
        <v>335</v>
      </c>
      <c r="C19" s="593">
        <f t="shared" si="2"/>
        <v>0</v>
      </c>
      <c r="D19" s="596">
        <v>0</v>
      </c>
      <c r="E19" s="595">
        <v>0</v>
      </c>
      <c r="F19" s="593">
        <f t="shared" si="3"/>
        <v>0</v>
      </c>
      <c r="G19" s="594">
        <v>0</v>
      </c>
      <c r="H19" s="595">
        <v>0</v>
      </c>
      <c r="I19" s="595">
        <v>0</v>
      </c>
      <c r="J19" s="595">
        <v>0</v>
      </c>
      <c r="K19" s="144"/>
    </row>
    <row r="20" spans="1:10" ht="20.25" customHeight="1">
      <c r="A20" s="247">
        <v>7</v>
      </c>
      <c r="B20" s="591" t="s">
        <v>336</v>
      </c>
      <c r="C20" s="593">
        <f t="shared" si="2"/>
        <v>0</v>
      </c>
      <c r="D20" s="596">
        <v>0</v>
      </c>
      <c r="E20" s="595">
        <v>0</v>
      </c>
      <c r="F20" s="593">
        <f t="shared" si="3"/>
        <v>0</v>
      </c>
      <c r="G20" s="594">
        <v>0</v>
      </c>
      <c r="H20" s="595">
        <v>0</v>
      </c>
      <c r="I20" s="595">
        <v>0</v>
      </c>
      <c r="J20" s="595">
        <v>0</v>
      </c>
    </row>
    <row r="21" spans="1:10" ht="20.25" customHeight="1">
      <c r="A21" s="247">
        <v>8</v>
      </c>
      <c r="B21" s="591" t="s">
        <v>337</v>
      </c>
      <c r="C21" s="593">
        <f t="shared" si="2"/>
        <v>0</v>
      </c>
      <c r="D21" s="596">
        <v>0</v>
      </c>
      <c r="E21" s="595">
        <v>0</v>
      </c>
      <c r="F21" s="593">
        <f t="shared" si="3"/>
        <v>0</v>
      </c>
      <c r="G21" s="594">
        <v>0</v>
      </c>
      <c r="H21" s="595">
        <v>0</v>
      </c>
      <c r="I21" s="595">
        <v>0</v>
      </c>
      <c r="J21" s="595">
        <v>0</v>
      </c>
    </row>
    <row r="22" spans="1:10" ht="19.5" customHeight="1">
      <c r="A22" s="247">
        <v>9</v>
      </c>
      <c r="B22" s="591" t="s">
        <v>338</v>
      </c>
      <c r="C22" s="593">
        <f t="shared" si="2"/>
        <v>0</v>
      </c>
      <c r="D22" s="596">
        <v>0</v>
      </c>
      <c r="E22" s="595">
        <v>0</v>
      </c>
      <c r="F22" s="593">
        <f t="shared" si="3"/>
        <v>0</v>
      </c>
      <c r="G22" s="594">
        <v>0</v>
      </c>
      <c r="H22" s="595">
        <v>0</v>
      </c>
      <c r="I22" s="595">
        <v>0</v>
      </c>
      <c r="J22" s="595">
        <v>0</v>
      </c>
    </row>
    <row r="23" spans="1:12" ht="19.5" customHeight="1" thickBot="1">
      <c r="A23" s="248">
        <v>10</v>
      </c>
      <c r="B23" s="592" t="s">
        <v>339</v>
      </c>
      <c r="C23" s="597">
        <f t="shared" si="2"/>
        <v>0</v>
      </c>
      <c r="D23" s="598">
        <v>0</v>
      </c>
      <c r="E23" s="599">
        <v>0</v>
      </c>
      <c r="F23" s="597">
        <f t="shared" si="3"/>
        <v>0</v>
      </c>
      <c r="G23" s="600">
        <v>0</v>
      </c>
      <c r="H23" s="599">
        <v>0</v>
      </c>
      <c r="I23" s="599">
        <v>0</v>
      </c>
      <c r="J23" s="599">
        <v>0</v>
      </c>
      <c r="K23" s="315"/>
      <c r="L23" s="315"/>
    </row>
    <row r="24" spans="1:12" ht="15.75" customHeight="1" thickTop="1">
      <c r="A24" s="842" t="str">
        <f>'Thông tin'!B7</f>
        <v>Bình Thuận, ngày 06 tháng 4 năm 2016</v>
      </c>
      <c r="B24" s="842"/>
      <c r="C24" s="842"/>
      <c r="D24" s="842"/>
      <c r="E24" s="311"/>
      <c r="F24" s="311"/>
      <c r="G24" s="842" t="str">
        <f>A24</f>
        <v>Bình Thuận, ngày 06 tháng 4 năm 2016</v>
      </c>
      <c r="H24" s="842"/>
      <c r="I24" s="842"/>
      <c r="J24" s="842"/>
      <c r="K24" s="310"/>
      <c r="L24" s="310"/>
    </row>
    <row r="25" spans="1:12" ht="21" customHeight="1">
      <c r="A25" s="845" t="s">
        <v>4</v>
      </c>
      <c r="B25" s="845"/>
      <c r="C25" s="845"/>
      <c r="D25" s="845"/>
      <c r="E25" s="303"/>
      <c r="F25" s="303"/>
      <c r="G25" s="844" t="str">
        <f>'Thông tin'!B6</f>
        <v>
KT. CỤC TRƯỞNG 
PHÓ CỤC TRƯỞNG
</v>
      </c>
      <c r="H25" s="844"/>
      <c r="I25" s="844"/>
      <c r="J25" s="844"/>
      <c r="K25" s="301"/>
      <c r="L25" s="301"/>
    </row>
    <row r="26" spans="1:12" s="145" customFormat="1" ht="16.5" customHeight="1">
      <c r="A26" s="303"/>
      <c r="B26" s="848"/>
      <c r="C26" s="848"/>
      <c r="D26" s="304"/>
      <c r="E26" s="101"/>
      <c r="F26" s="3"/>
      <c r="G26" s="844"/>
      <c r="H26" s="844"/>
      <c r="I26" s="844"/>
      <c r="J26" s="844"/>
      <c r="K26" s="301"/>
      <c r="L26" s="301"/>
    </row>
    <row r="27" spans="1:12" ht="16.5">
      <c r="A27" s="303"/>
      <c r="B27" s="306"/>
      <c r="C27" s="291"/>
      <c r="D27" s="300"/>
      <c r="E27" s="101"/>
      <c r="F27" s="59"/>
      <c r="G27" s="846"/>
      <c r="H27" s="846"/>
      <c r="I27" s="846"/>
      <c r="J27" s="846"/>
      <c r="K27" s="126"/>
      <c r="L27" s="62"/>
    </row>
    <row r="28" spans="1:12" ht="16.5">
      <c r="A28" s="303"/>
      <c r="B28" s="306"/>
      <c r="C28" s="291"/>
      <c r="D28" s="300"/>
      <c r="E28" s="101"/>
      <c r="F28" s="59"/>
      <c r="G28" s="59"/>
      <c r="H28" s="59"/>
      <c r="I28" s="126"/>
      <c r="J28" s="126"/>
      <c r="K28" s="126"/>
      <c r="L28" s="62"/>
    </row>
    <row r="29" spans="1:12" ht="16.5">
      <c r="A29" s="303"/>
      <c r="B29" s="306"/>
      <c r="C29" s="291"/>
      <c r="D29" s="300"/>
      <c r="E29" s="101"/>
      <c r="F29" s="59"/>
      <c r="G29" s="59"/>
      <c r="H29" s="59"/>
      <c r="I29" s="126"/>
      <c r="J29" s="126"/>
      <c r="K29" s="126"/>
      <c r="L29" s="62"/>
    </row>
    <row r="30" spans="1:12" ht="16.5">
      <c r="A30" s="843" t="str">
        <f>'Thông tin'!B4</f>
        <v>Trần Quốc Bảo</v>
      </c>
      <c r="B30" s="843"/>
      <c r="C30" s="843"/>
      <c r="D30" s="843"/>
      <c r="E30" s="305"/>
      <c r="F30" s="305"/>
      <c r="G30" s="843" t="str">
        <f>'Thông tin'!B5</f>
        <v>Trần Nam</v>
      </c>
      <c r="H30" s="843"/>
      <c r="I30" s="843"/>
      <c r="J30" s="843"/>
      <c r="K30" s="305"/>
      <c r="L30" s="305"/>
    </row>
    <row r="31" spans="1:10" ht="15.75">
      <c r="A31" s="62"/>
      <c r="B31" s="62"/>
      <c r="C31" s="62"/>
      <c r="D31" s="62"/>
      <c r="E31" s="62"/>
      <c r="F31" s="62"/>
      <c r="G31" s="62"/>
      <c r="H31" s="62"/>
      <c r="I31" s="62"/>
      <c r="J31" s="62"/>
    </row>
    <row r="32" spans="1:10" ht="15.75" hidden="1">
      <c r="A32" s="62"/>
      <c r="B32" s="62"/>
      <c r="C32" s="62"/>
      <c r="D32" s="62"/>
      <c r="E32" s="62"/>
      <c r="F32" s="62"/>
      <c r="G32" s="62"/>
      <c r="H32" s="62"/>
      <c r="I32" s="62"/>
      <c r="J32" s="62"/>
    </row>
    <row r="33" spans="1:11" s="146" customFormat="1" ht="15.75" hidden="1">
      <c r="A33" s="141" t="s">
        <v>33</v>
      </c>
      <c r="B33" s="59"/>
      <c r="C33" s="59"/>
      <c r="D33" s="59"/>
      <c r="E33" s="59"/>
      <c r="F33" s="59"/>
      <c r="G33" s="59"/>
      <c r="H33" s="59"/>
      <c r="I33" s="59"/>
      <c r="J33" s="59"/>
      <c r="K33" s="147"/>
    </row>
    <row r="34" spans="1:15" s="146" customFormat="1" ht="15" customHeight="1" hidden="1">
      <c r="A34" s="148"/>
      <c r="B34" s="837" t="s">
        <v>234</v>
      </c>
      <c r="C34" s="837"/>
      <c r="D34" s="837"/>
      <c r="E34" s="837"/>
      <c r="F34" s="837"/>
      <c r="G34" s="837"/>
      <c r="H34" s="837"/>
      <c r="I34" s="837"/>
      <c r="J34" s="837"/>
      <c r="K34" s="148"/>
      <c r="L34" s="149"/>
      <c r="M34" s="149"/>
      <c r="N34" s="149"/>
      <c r="O34" s="149"/>
    </row>
    <row r="35" spans="2:11" s="146" customFormat="1" ht="15.75" hidden="1">
      <c r="B35" s="150" t="s">
        <v>235</v>
      </c>
      <c r="K35" s="147"/>
    </row>
    <row r="36" ht="15.75" hidden="1">
      <c r="B36" s="151" t="s">
        <v>236</v>
      </c>
    </row>
  </sheetData>
  <sheetProtection/>
  <mergeCells count="34">
    <mergeCell ref="C3:G3"/>
    <mergeCell ref="B26:C26"/>
    <mergeCell ref="H1:J1"/>
    <mergeCell ref="H2:J2"/>
    <mergeCell ref="H3:J3"/>
    <mergeCell ref="H4:J4"/>
    <mergeCell ref="G8:H8"/>
    <mergeCell ref="J6:J9"/>
    <mergeCell ref="A1:B1"/>
    <mergeCell ref="A5:B5"/>
    <mergeCell ref="B34:J34"/>
    <mergeCell ref="A10:B10"/>
    <mergeCell ref="A11:B11"/>
    <mergeCell ref="G24:J24"/>
    <mergeCell ref="A30:D30"/>
    <mergeCell ref="G30:J30"/>
    <mergeCell ref="G25:J26"/>
    <mergeCell ref="A24:D24"/>
    <mergeCell ref="A25:D25"/>
    <mergeCell ref="G27:J27"/>
    <mergeCell ref="A6:B9"/>
    <mergeCell ref="C1:G1"/>
    <mergeCell ref="C2:G2"/>
    <mergeCell ref="C6:E6"/>
    <mergeCell ref="F6:I6"/>
    <mergeCell ref="F8:F9"/>
    <mergeCell ref="C7:C9"/>
    <mergeCell ref="D7:E7"/>
    <mergeCell ref="A4:B4"/>
    <mergeCell ref="F7:H7"/>
    <mergeCell ref="I7:I9"/>
    <mergeCell ref="D8:D9"/>
    <mergeCell ref="E8:E9"/>
    <mergeCell ref="H5:J5"/>
  </mergeCells>
  <printOptions/>
  <pageMargins left="0.2" right="0" top="0.25" bottom="0"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indexed="29"/>
  </sheetPr>
  <dimension ref="A1:M31"/>
  <sheetViews>
    <sheetView workbookViewId="0" topLeftCell="A1">
      <selection activeCell="A11" sqref="A11:L23"/>
    </sheetView>
  </sheetViews>
  <sheetFormatPr defaultColWidth="9.00390625" defaultRowHeight="15.75"/>
  <cols>
    <col min="1" max="1" width="3.50390625" style="0" customWidth="1"/>
    <col min="2" max="2" width="23.625" style="0" customWidth="1"/>
    <col min="3" max="3" width="11.25390625" style="0" customWidth="1"/>
    <col min="4" max="4" width="11.375" style="0" customWidth="1"/>
    <col min="5" max="5" width="10.125" style="0" customWidth="1"/>
    <col min="6" max="6" width="10.75390625" style="0" customWidth="1"/>
    <col min="7" max="7" width="10.50390625" style="0" customWidth="1"/>
    <col min="8" max="8" width="10.75390625" style="0" customWidth="1"/>
    <col min="9" max="9" width="11.75390625" style="0" customWidth="1"/>
    <col min="10" max="10" width="10.50390625" style="0" customWidth="1"/>
    <col min="11" max="11" width="10.625" style="0" customWidth="1"/>
    <col min="12" max="12" width="10.125" style="0" customWidth="1"/>
  </cols>
  <sheetData>
    <row r="1" spans="1:13" ht="16.5">
      <c r="A1" s="855" t="s">
        <v>555</v>
      </c>
      <c r="B1" s="855"/>
      <c r="C1" s="855"/>
      <c r="D1" s="856" t="s">
        <v>556</v>
      </c>
      <c r="E1" s="856"/>
      <c r="F1" s="856"/>
      <c r="G1" s="856"/>
      <c r="H1" s="856"/>
      <c r="I1" s="856"/>
      <c r="J1" s="454" t="s">
        <v>557</v>
      </c>
      <c r="K1" s="454"/>
      <c r="L1" s="454"/>
      <c r="M1" s="484"/>
    </row>
    <row r="2" spans="1:13" ht="16.5">
      <c r="A2" s="857" t="s">
        <v>451</v>
      </c>
      <c r="B2" s="857"/>
      <c r="C2" s="857"/>
      <c r="D2" s="858" t="s">
        <v>558</v>
      </c>
      <c r="E2" s="858"/>
      <c r="F2" s="858"/>
      <c r="G2" s="858"/>
      <c r="H2" s="858"/>
      <c r="I2" s="858"/>
      <c r="J2" s="859" t="str">
        <f>'Thông tin'!B3</f>
        <v>Cục THADS tỉnh Bình Thuận</v>
      </c>
      <c r="K2" s="859"/>
      <c r="L2" s="859"/>
      <c r="M2" s="484"/>
    </row>
    <row r="3" spans="1:13" ht="16.5">
      <c r="A3" s="857" t="s">
        <v>248</v>
      </c>
      <c r="B3" s="857"/>
      <c r="C3" s="857"/>
      <c r="D3" s="858" t="str">
        <f>'Thông tin'!B2</f>
        <v>6 tháng / năm 2016</v>
      </c>
      <c r="E3" s="858"/>
      <c r="F3" s="858"/>
      <c r="G3" s="858"/>
      <c r="H3" s="858"/>
      <c r="I3" s="858"/>
      <c r="J3" s="456" t="s">
        <v>359</v>
      </c>
      <c r="K3" s="456"/>
      <c r="L3" s="456"/>
      <c r="M3" s="484"/>
    </row>
    <row r="4" spans="1:13" ht="15.75">
      <c r="A4" s="862" t="s">
        <v>86</v>
      </c>
      <c r="B4" s="862"/>
      <c r="C4" s="862"/>
      <c r="D4" s="863" t="s">
        <v>408</v>
      </c>
      <c r="E4" s="863"/>
      <c r="F4" s="863"/>
      <c r="G4" s="863"/>
      <c r="H4" s="863"/>
      <c r="I4" s="863"/>
      <c r="J4" s="860" t="s">
        <v>350</v>
      </c>
      <c r="K4" s="860"/>
      <c r="L4" s="860"/>
      <c r="M4" s="860"/>
    </row>
    <row r="5" spans="1:13" ht="15.75">
      <c r="A5" s="458"/>
      <c r="B5" s="458"/>
      <c r="C5" s="455"/>
      <c r="D5" s="455"/>
      <c r="E5" s="455"/>
      <c r="F5" s="484"/>
      <c r="G5" s="484"/>
      <c r="H5" s="484"/>
      <c r="I5" s="484"/>
      <c r="J5" s="861" t="s">
        <v>559</v>
      </c>
      <c r="K5" s="861"/>
      <c r="L5" s="861"/>
      <c r="M5" s="486"/>
    </row>
    <row r="6" spans="1:13" ht="15.75">
      <c r="A6" s="873" t="s">
        <v>61</v>
      </c>
      <c r="B6" s="874"/>
      <c r="C6" s="879" t="s">
        <v>560</v>
      </c>
      <c r="D6" s="879"/>
      <c r="E6" s="879"/>
      <c r="F6" s="879"/>
      <c r="G6" s="879"/>
      <c r="H6" s="879"/>
      <c r="I6" s="880" t="s">
        <v>561</v>
      </c>
      <c r="J6" s="880"/>
      <c r="K6" s="880"/>
      <c r="L6" s="880"/>
      <c r="M6" s="487"/>
    </row>
    <row r="7" spans="1:13" ht="15.75">
      <c r="A7" s="875"/>
      <c r="B7" s="876"/>
      <c r="C7" s="880" t="s">
        <v>486</v>
      </c>
      <c r="D7" s="880"/>
      <c r="E7" s="879" t="s">
        <v>6</v>
      </c>
      <c r="F7" s="879"/>
      <c r="G7" s="879"/>
      <c r="H7" s="879"/>
      <c r="I7" s="880" t="s">
        <v>562</v>
      </c>
      <c r="J7" s="880"/>
      <c r="K7" s="880" t="s">
        <v>563</v>
      </c>
      <c r="L7" s="880"/>
      <c r="M7" s="487"/>
    </row>
    <row r="8" spans="1:13" ht="22.5" customHeight="1">
      <c r="A8" s="875"/>
      <c r="B8" s="876"/>
      <c r="C8" s="880"/>
      <c r="D8" s="880"/>
      <c r="E8" s="880" t="s">
        <v>564</v>
      </c>
      <c r="F8" s="880"/>
      <c r="G8" s="881" t="s">
        <v>567</v>
      </c>
      <c r="H8" s="882"/>
      <c r="I8" s="880"/>
      <c r="J8" s="880"/>
      <c r="K8" s="880"/>
      <c r="L8" s="880"/>
      <c r="M8" s="488"/>
    </row>
    <row r="9" spans="1:13" ht="15.75">
      <c r="A9" s="877"/>
      <c r="B9" s="878"/>
      <c r="C9" s="489" t="s">
        <v>565</v>
      </c>
      <c r="D9" s="490" t="s">
        <v>10</v>
      </c>
      <c r="E9" s="491" t="s">
        <v>2</v>
      </c>
      <c r="F9" s="490" t="s">
        <v>566</v>
      </c>
      <c r="G9" s="491" t="s">
        <v>2</v>
      </c>
      <c r="H9" s="490" t="s">
        <v>566</v>
      </c>
      <c r="I9" s="491" t="s">
        <v>2</v>
      </c>
      <c r="J9" s="490" t="s">
        <v>566</v>
      </c>
      <c r="K9" s="491" t="s">
        <v>2</v>
      </c>
      <c r="L9" s="490" t="s">
        <v>566</v>
      </c>
      <c r="M9" s="488"/>
    </row>
    <row r="10" spans="1:13" ht="15.75">
      <c r="A10" s="865" t="s">
        <v>5</v>
      </c>
      <c r="B10" s="866"/>
      <c r="C10" s="492">
        <v>1</v>
      </c>
      <c r="D10" s="492">
        <v>2</v>
      </c>
      <c r="E10" s="492">
        <v>3</v>
      </c>
      <c r="F10" s="492">
        <v>4</v>
      </c>
      <c r="G10" s="492">
        <v>5</v>
      </c>
      <c r="H10" s="492">
        <v>6</v>
      </c>
      <c r="I10" s="492">
        <v>7</v>
      </c>
      <c r="J10" s="492">
        <v>8</v>
      </c>
      <c r="K10" s="492">
        <v>9</v>
      </c>
      <c r="L10" s="492">
        <v>10</v>
      </c>
      <c r="M10" s="493"/>
    </row>
    <row r="11" spans="1:13" ht="19.5" customHeight="1">
      <c r="A11" s="867" t="s">
        <v>26</v>
      </c>
      <c r="B11" s="868"/>
      <c r="C11" s="256">
        <f>C12+C13</f>
        <v>0</v>
      </c>
      <c r="D11" s="256">
        <f aca="true" t="shared" si="0" ref="D11:L11">D12+D13</f>
        <v>0</v>
      </c>
      <c r="E11" s="256">
        <f t="shared" si="0"/>
        <v>0</v>
      </c>
      <c r="F11" s="256">
        <f t="shared" si="0"/>
        <v>0</v>
      </c>
      <c r="G11" s="256">
        <f t="shared" si="0"/>
        <v>0</v>
      </c>
      <c r="H11" s="256">
        <f t="shared" si="0"/>
        <v>0</v>
      </c>
      <c r="I11" s="256">
        <f t="shared" si="0"/>
        <v>0</v>
      </c>
      <c r="J11" s="256">
        <f t="shared" si="0"/>
        <v>0</v>
      </c>
      <c r="K11" s="256">
        <f t="shared" si="0"/>
        <v>0</v>
      </c>
      <c r="L11" s="256">
        <f t="shared" si="0"/>
        <v>0</v>
      </c>
      <c r="M11" s="493"/>
    </row>
    <row r="12" spans="1:13" ht="19.5" customHeight="1">
      <c r="A12" s="607" t="s">
        <v>0</v>
      </c>
      <c r="B12" s="589" t="s">
        <v>84</v>
      </c>
      <c r="C12" s="601">
        <f>E12+G12</f>
        <v>0</v>
      </c>
      <c r="D12" s="601">
        <f>F12+H12</f>
        <v>0</v>
      </c>
      <c r="E12" s="602">
        <v>0</v>
      </c>
      <c r="F12" s="602">
        <v>0</v>
      </c>
      <c r="G12" s="602">
        <v>0</v>
      </c>
      <c r="H12" s="602">
        <v>0</v>
      </c>
      <c r="I12" s="602">
        <v>0</v>
      </c>
      <c r="J12" s="602">
        <v>0</v>
      </c>
      <c r="K12" s="602">
        <v>0</v>
      </c>
      <c r="L12" s="602">
        <v>0</v>
      </c>
      <c r="M12" s="484"/>
    </row>
    <row r="13" spans="1:13" ht="20.25" customHeight="1">
      <c r="A13" s="608" t="s">
        <v>1</v>
      </c>
      <c r="B13" s="590" t="s">
        <v>14</v>
      </c>
      <c r="C13" s="601">
        <f>C14+C15+C16+C17+C18+C19+C20+C21+C22+C23</f>
        <v>0</v>
      </c>
      <c r="D13" s="601">
        <f aca="true" t="shared" si="1" ref="D13:L13">D14+D15+D16+D17+D18+D19+D20+D21+D22+D23</f>
        <v>0</v>
      </c>
      <c r="E13" s="601">
        <f t="shared" si="1"/>
        <v>0</v>
      </c>
      <c r="F13" s="601">
        <f t="shared" si="1"/>
        <v>0</v>
      </c>
      <c r="G13" s="601">
        <f t="shared" si="1"/>
        <v>0</v>
      </c>
      <c r="H13" s="601">
        <f t="shared" si="1"/>
        <v>0</v>
      </c>
      <c r="I13" s="601">
        <f t="shared" si="1"/>
        <v>0</v>
      </c>
      <c r="J13" s="601">
        <f t="shared" si="1"/>
        <v>0</v>
      </c>
      <c r="K13" s="601">
        <f t="shared" si="1"/>
        <v>0</v>
      </c>
      <c r="L13" s="601">
        <f t="shared" si="1"/>
        <v>0</v>
      </c>
      <c r="M13" s="484"/>
    </row>
    <row r="14" spans="1:13" ht="18" customHeight="1">
      <c r="A14" s="603">
        <v>1</v>
      </c>
      <c r="B14" s="591" t="s">
        <v>330</v>
      </c>
      <c r="C14" s="601">
        <f>E14+G14</f>
        <v>0</v>
      </c>
      <c r="D14" s="601">
        <f>F14+H14</f>
        <v>0</v>
      </c>
      <c r="E14" s="602">
        <v>0</v>
      </c>
      <c r="F14" s="602">
        <v>0</v>
      </c>
      <c r="G14" s="602">
        <v>0</v>
      </c>
      <c r="H14" s="602">
        <v>0</v>
      </c>
      <c r="I14" s="602">
        <v>0</v>
      </c>
      <c r="J14" s="602">
        <v>0</v>
      </c>
      <c r="K14" s="602">
        <v>0</v>
      </c>
      <c r="L14" s="602">
        <v>0</v>
      </c>
      <c r="M14" s="484"/>
    </row>
    <row r="15" spans="1:13" ht="17.25" customHeight="1">
      <c r="A15" s="603">
        <v>2</v>
      </c>
      <c r="B15" s="591" t="s">
        <v>331</v>
      </c>
      <c r="C15" s="601">
        <f aca="true" t="shared" si="2" ref="C15:D23">E15+G15</f>
        <v>0</v>
      </c>
      <c r="D15" s="601">
        <f t="shared" si="2"/>
        <v>0</v>
      </c>
      <c r="E15" s="602">
        <v>0</v>
      </c>
      <c r="F15" s="602">
        <v>0</v>
      </c>
      <c r="G15" s="602">
        <v>0</v>
      </c>
      <c r="H15" s="602">
        <v>0</v>
      </c>
      <c r="I15" s="602">
        <v>0</v>
      </c>
      <c r="J15" s="602">
        <v>0</v>
      </c>
      <c r="K15" s="602">
        <v>0</v>
      </c>
      <c r="L15" s="602">
        <v>0</v>
      </c>
      <c r="M15" s="484"/>
    </row>
    <row r="16" spans="1:13" ht="18" customHeight="1">
      <c r="A16" s="603">
        <v>3</v>
      </c>
      <c r="B16" s="591" t="s">
        <v>332</v>
      </c>
      <c r="C16" s="601">
        <f t="shared" si="2"/>
        <v>0</v>
      </c>
      <c r="D16" s="601">
        <f t="shared" si="2"/>
        <v>0</v>
      </c>
      <c r="E16" s="602">
        <v>0</v>
      </c>
      <c r="F16" s="602">
        <v>0</v>
      </c>
      <c r="G16" s="602">
        <v>0</v>
      </c>
      <c r="H16" s="602">
        <v>0</v>
      </c>
      <c r="I16" s="602">
        <v>0</v>
      </c>
      <c r="J16" s="602">
        <v>0</v>
      </c>
      <c r="K16" s="602">
        <v>0</v>
      </c>
      <c r="L16" s="602">
        <v>0</v>
      </c>
      <c r="M16" s="484"/>
    </row>
    <row r="17" spans="1:13" ht="18.75" customHeight="1">
      <c r="A17" s="603">
        <v>4</v>
      </c>
      <c r="B17" s="591" t="s">
        <v>333</v>
      </c>
      <c r="C17" s="601">
        <f t="shared" si="2"/>
        <v>0</v>
      </c>
      <c r="D17" s="601">
        <f t="shared" si="2"/>
        <v>0</v>
      </c>
      <c r="E17" s="602">
        <v>0</v>
      </c>
      <c r="F17" s="602">
        <v>0</v>
      </c>
      <c r="G17" s="602">
        <v>0</v>
      </c>
      <c r="H17" s="602">
        <v>0</v>
      </c>
      <c r="I17" s="602">
        <v>0</v>
      </c>
      <c r="J17" s="602">
        <v>0</v>
      </c>
      <c r="K17" s="602">
        <v>0</v>
      </c>
      <c r="L17" s="602">
        <v>0</v>
      </c>
      <c r="M17" s="484"/>
    </row>
    <row r="18" spans="1:13" ht="18" customHeight="1">
      <c r="A18" s="603">
        <v>5</v>
      </c>
      <c r="B18" s="591" t="s">
        <v>334</v>
      </c>
      <c r="C18" s="601">
        <f t="shared" si="2"/>
        <v>0</v>
      </c>
      <c r="D18" s="601">
        <f t="shared" si="2"/>
        <v>0</v>
      </c>
      <c r="E18" s="602">
        <v>0</v>
      </c>
      <c r="F18" s="602">
        <v>0</v>
      </c>
      <c r="G18" s="602">
        <v>0</v>
      </c>
      <c r="H18" s="602">
        <v>0</v>
      </c>
      <c r="I18" s="602">
        <v>0</v>
      </c>
      <c r="J18" s="602">
        <v>0</v>
      </c>
      <c r="K18" s="602">
        <v>0</v>
      </c>
      <c r="L18" s="602">
        <v>0</v>
      </c>
      <c r="M18" s="484"/>
    </row>
    <row r="19" spans="1:13" ht="18" customHeight="1">
      <c r="A19" s="603">
        <v>6</v>
      </c>
      <c r="B19" s="591" t="s">
        <v>335</v>
      </c>
      <c r="C19" s="601">
        <f t="shared" si="2"/>
        <v>0</v>
      </c>
      <c r="D19" s="601">
        <f t="shared" si="2"/>
        <v>0</v>
      </c>
      <c r="E19" s="602">
        <v>0</v>
      </c>
      <c r="F19" s="602">
        <v>0</v>
      </c>
      <c r="G19" s="602">
        <v>0</v>
      </c>
      <c r="H19" s="602">
        <v>0</v>
      </c>
      <c r="I19" s="602">
        <v>0</v>
      </c>
      <c r="J19" s="602">
        <v>0</v>
      </c>
      <c r="K19" s="602">
        <v>0</v>
      </c>
      <c r="L19" s="602">
        <v>0</v>
      </c>
      <c r="M19" s="484"/>
    </row>
    <row r="20" spans="1:13" ht="18" customHeight="1">
      <c r="A20" s="603">
        <v>7</v>
      </c>
      <c r="B20" s="591" t="s">
        <v>336</v>
      </c>
      <c r="C20" s="601">
        <f t="shared" si="2"/>
        <v>0</v>
      </c>
      <c r="D20" s="601">
        <f t="shared" si="2"/>
        <v>0</v>
      </c>
      <c r="E20" s="602">
        <v>0</v>
      </c>
      <c r="F20" s="602">
        <v>0</v>
      </c>
      <c r="G20" s="602">
        <v>0</v>
      </c>
      <c r="H20" s="602">
        <v>0</v>
      </c>
      <c r="I20" s="602">
        <v>0</v>
      </c>
      <c r="J20" s="602">
        <v>0</v>
      </c>
      <c r="K20" s="602">
        <v>0</v>
      </c>
      <c r="L20" s="602">
        <v>0</v>
      </c>
      <c r="M20" s="484"/>
    </row>
    <row r="21" spans="1:13" ht="17.25" customHeight="1">
      <c r="A21" s="603">
        <v>8</v>
      </c>
      <c r="B21" s="591" t="s">
        <v>337</v>
      </c>
      <c r="C21" s="601">
        <f t="shared" si="2"/>
        <v>0</v>
      </c>
      <c r="D21" s="601">
        <f t="shared" si="2"/>
        <v>0</v>
      </c>
      <c r="E21" s="602">
        <v>0</v>
      </c>
      <c r="F21" s="602">
        <v>0</v>
      </c>
      <c r="G21" s="602">
        <v>0</v>
      </c>
      <c r="H21" s="602">
        <v>0</v>
      </c>
      <c r="I21" s="602">
        <v>0</v>
      </c>
      <c r="J21" s="602">
        <v>0</v>
      </c>
      <c r="K21" s="602">
        <v>0</v>
      </c>
      <c r="L21" s="602">
        <v>0</v>
      </c>
      <c r="M21" s="484"/>
    </row>
    <row r="22" spans="1:13" ht="17.25" customHeight="1">
      <c r="A22" s="603">
        <v>9</v>
      </c>
      <c r="B22" s="591" t="s">
        <v>338</v>
      </c>
      <c r="C22" s="601">
        <f t="shared" si="2"/>
        <v>0</v>
      </c>
      <c r="D22" s="601">
        <f t="shared" si="2"/>
        <v>0</v>
      </c>
      <c r="E22" s="602">
        <v>0</v>
      </c>
      <c r="F22" s="602">
        <v>0</v>
      </c>
      <c r="G22" s="602">
        <v>0</v>
      </c>
      <c r="H22" s="602">
        <v>0</v>
      </c>
      <c r="I22" s="602">
        <v>0</v>
      </c>
      <c r="J22" s="602">
        <v>0</v>
      </c>
      <c r="K22" s="602">
        <v>0</v>
      </c>
      <c r="L22" s="602">
        <v>0</v>
      </c>
      <c r="M22" s="484"/>
    </row>
    <row r="23" spans="1:13" ht="19.5" customHeight="1" thickBot="1">
      <c r="A23" s="604">
        <v>10</v>
      </c>
      <c r="B23" s="592" t="s">
        <v>339</v>
      </c>
      <c r="C23" s="605">
        <f t="shared" si="2"/>
        <v>0</v>
      </c>
      <c r="D23" s="605">
        <f t="shared" si="2"/>
        <v>0</v>
      </c>
      <c r="E23" s="606">
        <v>0</v>
      </c>
      <c r="F23" s="606">
        <v>0</v>
      </c>
      <c r="G23" s="606">
        <v>0</v>
      </c>
      <c r="H23" s="606">
        <v>0</v>
      </c>
      <c r="I23" s="606">
        <v>0</v>
      </c>
      <c r="J23" s="606">
        <v>0</v>
      </c>
      <c r="K23" s="606">
        <v>0</v>
      </c>
      <c r="L23" s="606">
        <v>0</v>
      </c>
      <c r="M23" s="494"/>
    </row>
    <row r="24" spans="1:13" ht="17.25" thickTop="1">
      <c r="A24" s="485"/>
      <c r="B24" s="484"/>
      <c r="C24" s="484"/>
      <c r="D24" s="484"/>
      <c r="E24" s="484"/>
      <c r="F24" s="451"/>
      <c r="G24" s="451"/>
      <c r="H24" s="451"/>
      <c r="I24" s="451"/>
      <c r="J24" s="451"/>
      <c r="K24" s="451"/>
      <c r="L24" s="451"/>
      <c r="M24" s="451"/>
    </row>
    <row r="25" spans="1:13" ht="16.5">
      <c r="A25" s="869" t="str">
        <f>'Thông tin'!B7</f>
        <v>Bình Thuận, ngày 06 tháng 4 năm 2016</v>
      </c>
      <c r="B25" s="869"/>
      <c r="C25" s="869"/>
      <c r="D25" s="869"/>
      <c r="E25" s="524"/>
      <c r="F25" s="525"/>
      <c r="G25" s="870" t="str">
        <f>'Thông tin'!B7</f>
        <v>Bình Thuận, ngày 06 tháng 4 năm 2016</v>
      </c>
      <c r="H25" s="870"/>
      <c r="I25" s="870"/>
      <c r="J25" s="870"/>
      <c r="K25" s="870"/>
      <c r="L25" s="870"/>
      <c r="M25" s="452"/>
    </row>
    <row r="26" spans="1:13" ht="16.5">
      <c r="A26" s="871" t="s">
        <v>4</v>
      </c>
      <c r="B26" s="871"/>
      <c r="C26" s="871"/>
      <c r="D26" s="871"/>
      <c r="E26" s="524"/>
      <c r="F26" s="525"/>
      <c r="G26" s="872" t="s">
        <v>355</v>
      </c>
      <c r="H26" s="872"/>
      <c r="I26" s="872"/>
      <c r="J26" s="872"/>
      <c r="K26" s="872"/>
      <c r="L26" s="872"/>
      <c r="M26" s="452"/>
    </row>
    <row r="27" spans="1:13" ht="16.5">
      <c r="A27" s="527"/>
      <c r="B27" s="528"/>
      <c r="C27" s="528"/>
      <c r="D27" s="528"/>
      <c r="E27" s="524"/>
      <c r="F27" s="529"/>
      <c r="G27" s="872" t="s">
        <v>354</v>
      </c>
      <c r="H27" s="872"/>
      <c r="I27" s="872"/>
      <c r="J27" s="872"/>
      <c r="K27" s="872"/>
      <c r="L27" s="872"/>
      <c r="M27" s="451"/>
    </row>
    <row r="28" spans="1:13" ht="16.5">
      <c r="A28" s="527"/>
      <c r="B28" s="528"/>
      <c r="C28" s="528"/>
      <c r="D28" s="528"/>
      <c r="E28" s="524"/>
      <c r="F28" s="530"/>
      <c r="G28" s="530"/>
      <c r="H28" s="530"/>
      <c r="I28" s="530"/>
      <c r="J28" s="530"/>
      <c r="K28" s="529"/>
      <c r="L28" s="529"/>
      <c r="M28" s="451"/>
    </row>
    <row r="29" spans="1:13" ht="16.5">
      <c r="A29" s="527"/>
      <c r="B29" s="531"/>
      <c r="C29" s="531"/>
      <c r="D29" s="524"/>
      <c r="E29" s="524"/>
      <c r="F29" s="530"/>
      <c r="G29" s="530"/>
      <c r="H29" s="530"/>
      <c r="I29" s="530"/>
      <c r="J29" s="530"/>
      <c r="K29" s="529"/>
      <c r="L29" s="529"/>
      <c r="M29" s="451"/>
    </row>
    <row r="30" spans="1:13" ht="16.5">
      <c r="A30" s="526"/>
      <c r="B30" s="532"/>
      <c r="C30" s="532"/>
      <c r="D30" s="532"/>
      <c r="E30" s="532"/>
      <c r="F30" s="533"/>
      <c r="G30" s="533"/>
      <c r="H30" s="533"/>
      <c r="I30" s="533"/>
      <c r="J30" s="533"/>
      <c r="K30" s="533"/>
      <c r="L30" s="533"/>
      <c r="M30" s="467"/>
    </row>
    <row r="31" spans="1:13" ht="16.5">
      <c r="A31" s="864" t="str">
        <f>'Thông tin'!B4</f>
        <v>Trần Quốc Bảo</v>
      </c>
      <c r="B31" s="864"/>
      <c r="C31" s="864"/>
      <c r="D31" s="864"/>
      <c r="E31" s="534"/>
      <c r="F31" s="534"/>
      <c r="G31" s="864" t="str">
        <f>'Thông tin'!B5</f>
        <v>Trần Nam</v>
      </c>
      <c r="H31" s="864"/>
      <c r="I31" s="864"/>
      <c r="J31" s="864"/>
      <c r="K31" s="864"/>
      <c r="L31" s="864"/>
      <c r="M31" s="484"/>
    </row>
  </sheetData>
  <mergeCells count="29">
    <mergeCell ref="A6:B9"/>
    <mergeCell ref="C6:H6"/>
    <mergeCell ref="I6:L6"/>
    <mergeCell ref="C7:D8"/>
    <mergeCell ref="E7:H7"/>
    <mergeCell ref="I7:J8"/>
    <mergeCell ref="K7:L8"/>
    <mergeCell ref="E8:F8"/>
    <mergeCell ref="G8:H8"/>
    <mergeCell ref="A31:D31"/>
    <mergeCell ref="G31:L31"/>
    <mergeCell ref="A10:B10"/>
    <mergeCell ref="A11:B11"/>
    <mergeCell ref="A25:D25"/>
    <mergeCell ref="G25:L25"/>
    <mergeCell ref="A26:D26"/>
    <mergeCell ref="G26:L26"/>
    <mergeCell ref="G27:L27"/>
    <mergeCell ref="J2:L2"/>
    <mergeCell ref="J4:M4"/>
    <mergeCell ref="J5:L5"/>
    <mergeCell ref="A3:C3"/>
    <mergeCell ref="D3:I3"/>
    <mergeCell ref="A4:C4"/>
    <mergeCell ref="D4:I4"/>
    <mergeCell ref="A1:C1"/>
    <mergeCell ref="D1:I1"/>
    <mergeCell ref="A2:C2"/>
    <mergeCell ref="D2:I2"/>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8"/>
  </sheetPr>
  <dimension ref="A1:T32"/>
  <sheetViews>
    <sheetView workbookViewId="0" topLeftCell="A4">
      <selection activeCell="A12" sqref="A12:T24"/>
    </sheetView>
  </sheetViews>
  <sheetFormatPr defaultColWidth="9.00390625" defaultRowHeight="15.75"/>
  <cols>
    <col min="1" max="1" width="3.75390625" style="0" customWidth="1"/>
    <col min="2" max="2" width="21.50390625" style="0" customWidth="1"/>
    <col min="3" max="3" width="5.75390625" style="0" customWidth="1"/>
    <col min="4" max="4" width="8.625" style="0" customWidth="1"/>
    <col min="5" max="5" width="4.75390625" style="0" customWidth="1"/>
    <col min="6" max="6" width="8.875" style="0" customWidth="1"/>
    <col min="7" max="7" width="4.875" style="0" customWidth="1"/>
    <col min="8" max="8" width="8.50390625" style="0" customWidth="1"/>
    <col min="9" max="9" width="5.625" style="0" customWidth="1"/>
    <col min="10" max="10" width="6.375" style="0" customWidth="1"/>
    <col min="11" max="11" width="5.75390625" style="0" customWidth="1"/>
    <col min="12" max="12" width="6.25390625" style="0" customWidth="1"/>
    <col min="13" max="13" width="4.625" style="0" customWidth="1"/>
    <col min="14" max="14" width="8.625" style="0" customWidth="1"/>
    <col min="15" max="15" width="5.375" style="0" customWidth="1"/>
    <col min="16" max="16" width="8.75390625" style="0" customWidth="1"/>
    <col min="17" max="17" width="5.625" style="0" customWidth="1"/>
    <col min="18" max="18" width="6.50390625" style="0" customWidth="1"/>
    <col min="19" max="19" width="5.625" style="0" customWidth="1"/>
    <col min="20" max="20" width="6.125" style="0" customWidth="1"/>
  </cols>
  <sheetData>
    <row r="1" spans="1:20" ht="24" customHeight="1">
      <c r="A1" s="884" t="s">
        <v>536</v>
      </c>
      <c r="B1" s="884"/>
      <c r="C1" s="884"/>
      <c r="D1" s="884"/>
      <c r="E1" s="886" t="s">
        <v>580</v>
      </c>
      <c r="F1" s="886"/>
      <c r="G1" s="886"/>
      <c r="H1" s="886"/>
      <c r="I1" s="886"/>
      <c r="J1" s="886"/>
      <c r="K1" s="886"/>
      <c r="L1" s="886"/>
      <c r="M1" s="886"/>
      <c r="N1" s="886"/>
      <c r="O1" s="886"/>
      <c r="P1" s="535" t="s">
        <v>358</v>
      </c>
      <c r="Q1" s="535"/>
      <c r="R1" s="535"/>
      <c r="S1" s="536"/>
      <c r="T1" s="536"/>
    </row>
    <row r="2" spans="1:20" ht="24.75" customHeight="1">
      <c r="A2" s="884" t="s">
        <v>451</v>
      </c>
      <c r="B2" s="884"/>
      <c r="C2" s="884"/>
      <c r="D2" s="884"/>
      <c r="E2" s="886"/>
      <c r="F2" s="886"/>
      <c r="G2" s="886"/>
      <c r="H2" s="886"/>
      <c r="I2" s="886"/>
      <c r="J2" s="886"/>
      <c r="K2" s="886"/>
      <c r="L2" s="886"/>
      <c r="M2" s="886"/>
      <c r="N2" s="886"/>
      <c r="O2" s="886"/>
      <c r="P2" s="885" t="str">
        <f>'Thông tin'!B3</f>
        <v>Cục THADS tỉnh Bình Thuận</v>
      </c>
      <c r="Q2" s="885"/>
      <c r="R2" s="885"/>
      <c r="S2" s="885"/>
      <c r="T2" s="885"/>
    </row>
    <row r="3" spans="1:20" ht="18.75" customHeight="1">
      <c r="A3" s="884" t="s">
        <v>248</v>
      </c>
      <c r="B3" s="884"/>
      <c r="C3" s="884"/>
      <c r="D3" s="884"/>
      <c r="E3" s="886"/>
      <c r="F3" s="886"/>
      <c r="G3" s="886"/>
      <c r="H3" s="886"/>
      <c r="I3" s="886"/>
      <c r="J3" s="886"/>
      <c r="K3" s="886"/>
      <c r="L3" s="886"/>
      <c r="M3" s="886"/>
      <c r="N3" s="886"/>
      <c r="O3" s="886"/>
      <c r="P3" s="537" t="s">
        <v>359</v>
      </c>
      <c r="Q3" s="537"/>
      <c r="R3" s="537"/>
      <c r="S3" s="536"/>
      <c r="T3" s="536"/>
    </row>
    <row r="4" spans="1:20" ht="18.75" customHeight="1">
      <c r="A4" s="538" t="s">
        <v>508</v>
      </c>
      <c r="B4" s="538"/>
      <c r="C4" s="538"/>
      <c r="D4" s="539"/>
      <c r="E4" s="883" t="str">
        <f>'Thông tin'!B2</f>
        <v>6 tháng / năm 2016</v>
      </c>
      <c r="F4" s="883"/>
      <c r="G4" s="883"/>
      <c r="H4" s="883"/>
      <c r="I4" s="883"/>
      <c r="J4" s="883"/>
      <c r="K4" s="883"/>
      <c r="L4" s="883"/>
      <c r="M4" s="883"/>
      <c r="N4" s="883"/>
      <c r="O4" s="883"/>
      <c r="P4" s="540" t="s">
        <v>537</v>
      </c>
      <c r="Q4" s="540"/>
      <c r="R4" s="540"/>
      <c r="S4" s="540"/>
      <c r="T4" s="541"/>
    </row>
    <row r="5" spans="1:20" ht="15.75">
      <c r="A5" s="542"/>
      <c r="B5" s="542"/>
      <c r="C5" s="542"/>
      <c r="D5" s="536"/>
      <c r="E5" s="536"/>
      <c r="F5" s="902" t="s">
        <v>554</v>
      </c>
      <c r="G5" s="902"/>
      <c r="H5" s="902"/>
      <c r="I5" s="902"/>
      <c r="J5" s="902"/>
      <c r="K5" s="902"/>
      <c r="L5" s="902"/>
      <c r="M5" s="902"/>
      <c r="N5" s="902"/>
      <c r="O5" s="902"/>
      <c r="P5" s="903" t="s">
        <v>538</v>
      </c>
      <c r="Q5" s="903"/>
      <c r="R5" s="903"/>
      <c r="S5" s="903"/>
      <c r="T5" s="903"/>
    </row>
    <row r="6" spans="1:20" ht="15.75">
      <c r="A6" s="887" t="s">
        <v>61</v>
      </c>
      <c r="B6" s="888"/>
      <c r="C6" s="893" t="s">
        <v>27</v>
      </c>
      <c r="D6" s="894"/>
      <c r="E6" s="893" t="s">
        <v>6</v>
      </c>
      <c r="F6" s="895"/>
      <c r="G6" s="895"/>
      <c r="H6" s="895"/>
      <c r="I6" s="895"/>
      <c r="J6" s="895"/>
      <c r="K6" s="895"/>
      <c r="L6" s="895"/>
      <c r="M6" s="895"/>
      <c r="N6" s="895"/>
      <c r="O6" s="895"/>
      <c r="P6" s="895"/>
      <c r="Q6" s="895"/>
      <c r="R6" s="895"/>
      <c r="S6" s="895"/>
      <c r="T6" s="894"/>
    </row>
    <row r="7" spans="1:20" ht="15.75">
      <c r="A7" s="889"/>
      <c r="B7" s="890"/>
      <c r="C7" s="896" t="s">
        <v>539</v>
      </c>
      <c r="D7" s="896" t="s">
        <v>540</v>
      </c>
      <c r="E7" s="893" t="s">
        <v>541</v>
      </c>
      <c r="F7" s="899"/>
      <c r="G7" s="899"/>
      <c r="H7" s="899"/>
      <c r="I7" s="899"/>
      <c r="J7" s="899"/>
      <c r="K7" s="899"/>
      <c r="L7" s="900"/>
      <c r="M7" s="893" t="s">
        <v>542</v>
      </c>
      <c r="N7" s="895"/>
      <c r="O7" s="895"/>
      <c r="P7" s="895"/>
      <c r="Q7" s="895"/>
      <c r="R7" s="895"/>
      <c r="S7" s="895"/>
      <c r="T7" s="894"/>
    </row>
    <row r="8" spans="1:20" ht="37.5" customHeight="1">
      <c r="A8" s="889"/>
      <c r="B8" s="890"/>
      <c r="C8" s="897"/>
      <c r="D8" s="897"/>
      <c r="E8" s="901" t="s">
        <v>543</v>
      </c>
      <c r="F8" s="901"/>
      <c r="G8" s="893" t="s">
        <v>544</v>
      </c>
      <c r="H8" s="895"/>
      <c r="I8" s="895"/>
      <c r="J8" s="895"/>
      <c r="K8" s="895"/>
      <c r="L8" s="894"/>
      <c r="M8" s="901" t="s">
        <v>545</v>
      </c>
      <c r="N8" s="901"/>
      <c r="O8" s="893" t="s">
        <v>544</v>
      </c>
      <c r="P8" s="895"/>
      <c r="Q8" s="895"/>
      <c r="R8" s="895"/>
      <c r="S8" s="895"/>
      <c r="T8" s="894"/>
    </row>
    <row r="9" spans="1:20" ht="25.5" customHeight="1">
      <c r="A9" s="889"/>
      <c r="B9" s="890"/>
      <c r="C9" s="897"/>
      <c r="D9" s="897"/>
      <c r="E9" s="896" t="s">
        <v>546</v>
      </c>
      <c r="F9" s="896" t="s">
        <v>547</v>
      </c>
      <c r="G9" s="891" t="s">
        <v>548</v>
      </c>
      <c r="H9" s="892"/>
      <c r="I9" s="891" t="s">
        <v>549</v>
      </c>
      <c r="J9" s="892"/>
      <c r="K9" s="891" t="s">
        <v>550</v>
      </c>
      <c r="L9" s="892"/>
      <c r="M9" s="896" t="s">
        <v>551</v>
      </c>
      <c r="N9" s="896" t="s">
        <v>547</v>
      </c>
      <c r="O9" s="891" t="s">
        <v>548</v>
      </c>
      <c r="P9" s="892"/>
      <c r="Q9" s="891" t="s">
        <v>552</v>
      </c>
      <c r="R9" s="892"/>
      <c r="S9" s="891" t="s">
        <v>553</v>
      </c>
      <c r="T9" s="892"/>
    </row>
    <row r="10" spans="1:20" ht="27" customHeight="1">
      <c r="A10" s="891"/>
      <c r="B10" s="892"/>
      <c r="C10" s="898"/>
      <c r="D10" s="898"/>
      <c r="E10" s="898"/>
      <c r="F10" s="898"/>
      <c r="G10" s="447" t="s">
        <v>551</v>
      </c>
      <c r="H10" s="447" t="s">
        <v>547</v>
      </c>
      <c r="I10" s="448" t="s">
        <v>551</v>
      </c>
      <c r="J10" s="447" t="s">
        <v>547</v>
      </c>
      <c r="K10" s="448" t="s">
        <v>551</v>
      </c>
      <c r="L10" s="447" t="s">
        <v>547</v>
      </c>
      <c r="M10" s="898"/>
      <c r="N10" s="898"/>
      <c r="O10" s="447" t="s">
        <v>551</v>
      </c>
      <c r="P10" s="447" t="s">
        <v>547</v>
      </c>
      <c r="Q10" s="448" t="s">
        <v>551</v>
      </c>
      <c r="R10" s="447" t="s">
        <v>547</v>
      </c>
      <c r="S10" s="448" t="s">
        <v>551</v>
      </c>
      <c r="T10" s="447" t="s">
        <v>547</v>
      </c>
    </row>
    <row r="11" spans="1:20" ht="15.75">
      <c r="A11" s="904" t="s">
        <v>5</v>
      </c>
      <c r="B11" s="905"/>
      <c r="C11" s="479">
        <v>1</v>
      </c>
      <c r="D11" s="449">
        <v>2</v>
      </c>
      <c r="E11" s="479">
        <v>3</v>
      </c>
      <c r="F11" s="449">
        <v>4</v>
      </c>
      <c r="G11" s="479">
        <v>5</v>
      </c>
      <c r="H11" s="449">
        <v>6</v>
      </c>
      <c r="I11" s="479">
        <v>7</v>
      </c>
      <c r="J11" s="449">
        <v>8</v>
      </c>
      <c r="K11" s="479">
        <v>9</v>
      </c>
      <c r="L11" s="449">
        <v>10</v>
      </c>
      <c r="M11" s="479">
        <v>11</v>
      </c>
      <c r="N11" s="449">
        <v>12</v>
      </c>
      <c r="O11" s="479">
        <v>13</v>
      </c>
      <c r="P11" s="449">
        <v>14</v>
      </c>
      <c r="Q11" s="479">
        <v>15</v>
      </c>
      <c r="R11" s="449">
        <v>16</v>
      </c>
      <c r="S11" s="479">
        <v>17</v>
      </c>
      <c r="T11" s="449">
        <v>18</v>
      </c>
    </row>
    <row r="12" spans="1:20" ht="18" customHeight="1">
      <c r="A12" s="906" t="s">
        <v>26</v>
      </c>
      <c r="B12" s="907"/>
      <c r="C12" s="480">
        <f>C13+C14</f>
        <v>73</v>
      </c>
      <c r="D12" s="480">
        <f aca="true" t="shared" si="0" ref="D12:T12">D13+D14</f>
        <v>24020738</v>
      </c>
      <c r="E12" s="480">
        <f t="shared" si="0"/>
        <v>5</v>
      </c>
      <c r="F12" s="480">
        <f t="shared" si="0"/>
        <v>22718212</v>
      </c>
      <c r="G12" s="480">
        <f t="shared" si="0"/>
        <v>5</v>
      </c>
      <c r="H12" s="480">
        <f t="shared" si="0"/>
        <v>22718212</v>
      </c>
      <c r="I12" s="481">
        <f t="shared" si="0"/>
        <v>0</v>
      </c>
      <c r="J12" s="481">
        <f t="shared" si="0"/>
        <v>0</v>
      </c>
      <c r="K12" s="481">
        <f t="shared" si="0"/>
        <v>0</v>
      </c>
      <c r="L12" s="481">
        <f t="shared" si="0"/>
        <v>0</v>
      </c>
      <c r="M12" s="481">
        <f t="shared" si="0"/>
        <v>68</v>
      </c>
      <c r="N12" s="481">
        <f t="shared" si="0"/>
        <v>1302526</v>
      </c>
      <c r="O12" s="481">
        <f t="shared" si="0"/>
        <v>68</v>
      </c>
      <c r="P12" s="481">
        <f t="shared" si="0"/>
        <v>1302526</v>
      </c>
      <c r="Q12" s="481">
        <f t="shared" si="0"/>
        <v>0</v>
      </c>
      <c r="R12" s="481">
        <f t="shared" si="0"/>
        <v>0</v>
      </c>
      <c r="S12" s="481">
        <f t="shared" si="0"/>
        <v>0</v>
      </c>
      <c r="T12" s="481">
        <f t="shared" si="0"/>
        <v>0</v>
      </c>
    </row>
    <row r="13" spans="1:20" ht="18.75" customHeight="1">
      <c r="A13" s="245" t="s">
        <v>0</v>
      </c>
      <c r="B13" s="246" t="s">
        <v>390</v>
      </c>
      <c r="C13" s="482">
        <f>E13+M13</f>
        <v>5</v>
      </c>
      <c r="D13" s="482">
        <f>F13+N13</f>
        <v>22718212</v>
      </c>
      <c r="E13" s="587">
        <v>5</v>
      </c>
      <c r="F13" s="587">
        <f>400000+628700+651000+18592000+2446512</f>
        <v>22718212</v>
      </c>
      <c r="G13" s="587">
        <v>5</v>
      </c>
      <c r="H13" s="587">
        <v>22718212</v>
      </c>
      <c r="I13" s="242">
        <v>0</v>
      </c>
      <c r="J13" s="242">
        <v>0</v>
      </c>
      <c r="K13" s="242">
        <v>0</v>
      </c>
      <c r="L13" s="242">
        <v>0</v>
      </c>
      <c r="M13" s="242">
        <v>0</v>
      </c>
      <c r="N13" s="242">
        <v>0</v>
      </c>
      <c r="O13" s="242">
        <v>0</v>
      </c>
      <c r="P13" s="242">
        <v>0</v>
      </c>
      <c r="Q13" s="242">
        <v>0</v>
      </c>
      <c r="R13" s="242"/>
      <c r="S13" s="242">
        <v>0</v>
      </c>
      <c r="T13" s="242">
        <v>0</v>
      </c>
    </row>
    <row r="14" spans="1:20" ht="18" customHeight="1">
      <c r="A14" s="254" t="s">
        <v>1</v>
      </c>
      <c r="B14" s="255" t="s">
        <v>14</v>
      </c>
      <c r="C14" s="482">
        <f>C15+C16+C17+C18+C19+C20+C21+C22+C23+C24</f>
        <v>68</v>
      </c>
      <c r="D14" s="482">
        <f aca="true" t="shared" si="1" ref="D14:T14">D15+D16+D17+D18+D19+D20+D21+D22+D23+D24</f>
        <v>1302526</v>
      </c>
      <c r="E14" s="482">
        <f t="shared" si="1"/>
        <v>0</v>
      </c>
      <c r="F14" s="482">
        <f t="shared" si="1"/>
        <v>0</v>
      </c>
      <c r="G14" s="482">
        <f t="shared" si="1"/>
        <v>0</v>
      </c>
      <c r="H14" s="482">
        <f t="shared" si="1"/>
        <v>0</v>
      </c>
      <c r="I14" s="250">
        <f t="shared" si="1"/>
        <v>0</v>
      </c>
      <c r="J14" s="250">
        <f t="shared" si="1"/>
        <v>0</v>
      </c>
      <c r="K14" s="250">
        <f t="shared" si="1"/>
        <v>0</v>
      </c>
      <c r="L14" s="250">
        <f t="shared" si="1"/>
        <v>0</v>
      </c>
      <c r="M14" s="250">
        <f t="shared" si="1"/>
        <v>68</v>
      </c>
      <c r="N14" s="250">
        <f t="shared" si="1"/>
        <v>1302526</v>
      </c>
      <c r="O14" s="250">
        <f t="shared" si="1"/>
        <v>68</v>
      </c>
      <c r="P14" s="250">
        <f t="shared" si="1"/>
        <v>1302526</v>
      </c>
      <c r="Q14" s="250">
        <f t="shared" si="1"/>
        <v>0</v>
      </c>
      <c r="R14" s="250">
        <f t="shared" si="1"/>
        <v>0</v>
      </c>
      <c r="S14" s="250">
        <f t="shared" si="1"/>
        <v>0</v>
      </c>
      <c r="T14" s="250">
        <f t="shared" si="1"/>
        <v>0</v>
      </c>
    </row>
    <row r="15" spans="1:20" ht="17.25" customHeight="1">
      <c r="A15" s="247">
        <v>1</v>
      </c>
      <c r="B15" s="395" t="s">
        <v>330</v>
      </c>
      <c r="C15" s="482">
        <f>E15+M15</f>
        <v>0</v>
      </c>
      <c r="D15" s="482">
        <f>F15+N15</f>
        <v>0</v>
      </c>
      <c r="E15" s="483">
        <v>0</v>
      </c>
      <c r="F15" s="483">
        <v>0</v>
      </c>
      <c r="G15" s="483">
        <v>0</v>
      </c>
      <c r="H15" s="483">
        <v>0</v>
      </c>
      <c r="I15" s="242">
        <v>0</v>
      </c>
      <c r="J15" s="242">
        <v>0</v>
      </c>
      <c r="K15" s="242">
        <v>0</v>
      </c>
      <c r="L15" s="242">
        <v>0</v>
      </c>
      <c r="M15" s="242">
        <v>0</v>
      </c>
      <c r="N15" s="242">
        <v>0</v>
      </c>
      <c r="O15" s="242">
        <v>0</v>
      </c>
      <c r="P15" s="242">
        <v>0</v>
      </c>
      <c r="Q15" s="242">
        <v>0</v>
      </c>
      <c r="R15" s="242">
        <v>0</v>
      </c>
      <c r="S15" s="242">
        <v>0</v>
      </c>
      <c r="T15" s="242">
        <v>0</v>
      </c>
    </row>
    <row r="16" spans="1:20" ht="17.25" customHeight="1">
      <c r="A16" s="247">
        <v>2</v>
      </c>
      <c r="B16" s="591" t="s">
        <v>331</v>
      </c>
      <c r="C16" s="482">
        <f aca="true" t="shared" si="2" ref="C16:D24">E16+M16</f>
        <v>0</v>
      </c>
      <c r="D16" s="482">
        <f t="shared" si="2"/>
        <v>0</v>
      </c>
      <c r="E16" s="483">
        <v>0</v>
      </c>
      <c r="F16" s="483">
        <v>0</v>
      </c>
      <c r="G16" s="483">
        <v>0</v>
      </c>
      <c r="H16" s="483">
        <v>0</v>
      </c>
      <c r="I16" s="242">
        <v>0</v>
      </c>
      <c r="J16" s="242">
        <v>0</v>
      </c>
      <c r="K16" s="242">
        <v>0</v>
      </c>
      <c r="L16" s="242">
        <v>0</v>
      </c>
      <c r="M16" s="242">
        <v>0</v>
      </c>
      <c r="N16" s="242">
        <v>0</v>
      </c>
      <c r="O16" s="242">
        <v>0</v>
      </c>
      <c r="P16" s="242">
        <v>0</v>
      </c>
      <c r="Q16" s="242">
        <v>0</v>
      </c>
      <c r="R16" s="242">
        <v>0</v>
      </c>
      <c r="S16" s="242">
        <v>0</v>
      </c>
      <c r="T16" s="242">
        <v>0</v>
      </c>
    </row>
    <row r="17" spans="1:20" ht="17.25" customHeight="1">
      <c r="A17" s="247">
        <v>3</v>
      </c>
      <c r="B17" s="591" t="s">
        <v>332</v>
      </c>
      <c r="C17" s="482">
        <f t="shared" si="2"/>
        <v>68</v>
      </c>
      <c r="D17" s="482">
        <f t="shared" si="2"/>
        <v>1302526</v>
      </c>
      <c r="E17" s="483">
        <v>0</v>
      </c>
      <c r="F17" s="483">
        <v>0</v>
      </c>
      <c r="G17" s="483">
        <v>0</v>
      </c>
      <c r="H17" s="483">
        <v>0</v>
      </c>
      <c r="I17" s="242">
        <v>0</v>
      </c>
      <c r="J17" s="242">
        <v>0</v>
      </c>
      <c r="K17" s="242">
        <v>0</v>
      </c>
      <c r="L17" s="242">
        <v>0</v>
      </c>
      <c r="M17" s="242">
        <v>68</v>
      </c>
      <c r="N17" s="242">
        <v>1302526</v>
      </c>
      <c r="O17" s="242">
        <v>68</v>
      </c>
      <c r="P17" s="242">
        <v>1302526</v>
      </c>
      <c r="Q17" s="242">
        <v>0</v>
      </c>
      <c r="R17" s="242">
        <v>0</v>
      </c>
      <c r="S17" s="242">
        <v>0</v>
      </c>
      <c r="T17" s="242">
        <v>0</v>
      </c>
    </row>
    <row r="18" spans="1:20" ht="17.25" customHeight="1">
      <c r="A18" s="247">
        <v>4</v>
      </c>
      <c r="B18" s="591" t="s">
        <v>333</v>
      </c>
      <c r="C18" s="482">
        <f t="shared" si="2"/>
        <v>0</v>
      </c>
      <c r="D18" s="482">
        <f t="shared" si="2"/>
        <v>0</v>
      </c>
      <c r="E18" s="483">
        <v>0</v>
      </c>
      <c r="F18" s="483">
        <v>0</v>
      </c>
      <c r="G18" s="483">
        <v>0</v>
      </c>
      <c r="H18" s="483">
        <v>0</v>
      </c>
      <c r="I18" s="242">
        <v>0</v>
      </c>
      <c r="J18" s="242">
        <v>0</v>
      </c>
      <c r="K18" s="242">
        <v>0</v>
      </c>
      <c r="L18" s="242">
        <v>0</v>
      </c>
      <c r="M18" s="242">
        <v>0</v>
      </c>
      <c r="N18" s="242">
        <v>0</v>
      </c>
      <c r="O18" s="242">
        <v>0</v>
      </c>
      <c r="P18" s="242">
        <v>0</v>
      </c>
      <c r="Q18" s="242">
        <v>0</v>
      </c>
      <c r="R18" s="242">
        <v>0</v>
      </c>
      <c r="S18" s="242">
        <v>0</v>
      </c>
      <c r="T18" s="242">
        <v>0</v>
      </c>
    </row>
    <row r="19" spans="1:20" ht="17.25" customHeight="1">
      <c r="A19" s="247">
        <v>5</v>
      </c>
      <c r="B19" s="591" t="s">
        <v>334</v>
      </c>
      <c r="C19" s="482">
        <f t="shared" si="2"/>
        <v>0</v>
      </c>
      <c r="D19" s="482">
        <f t="shared" si="2"/>
        <v>0</v>
      </c>
      <c r="E19" s="483">
        <v>0</v>
      </c>
      <c r="F19" s="483">
        <v>0</v>
      </c>
      <c r="G19" s="483">
        <v>0</v>
      </c>
      <c r="H19" s="483">
        <v>0</v>
      </c>
      <c r="I19" s="242">
        <v>0</v>
      </c>
      <c r="J19" s="242">
        <v>0</v>
      </c>
      <c r="K19" s="242">
        <v>0</v>
      </c>
      <c r="L19" s="242">
        <v>0</v>
      </c>
      <c r="M19" s="242">
        <v>0</v>
      </c>
      <c r="N19" s="242">
        <v>0</v>
      </c>
      <c r="O19" s="242"/>
      <c r="P19" s="242">
        <v>0</v>
      </c>
      <c r="Q19" s="242">
        <v>0</v>
      </c>
      <c r="R19" s="242">
        <v>0</v>
      </c>
      <c r="S19" s="242">
        <v>0</v>
      </c>
      <c r="T19" s="242">
        <v>0</v>
      </c>
    </row>
    <row r="20" spans="1:20" ht="17.25" customHeight="1">
      <c r="A20" s="247">
        <v>6</v>
      </c>
      <c r="B20" s="591" t="s">
        <v>335</v>
      </c>
      <c r="C20" s="250">
        <f t="shared" si="2"/>
        <v>0</v>
      </c>
      <c r="D20" s="250">
        <f t="shared" si="2"/>
        <v>0</v>
      </c>
      <c r="E20" s="242">
        <v>0</v>
      </c>
      <c r="F20" s="242">
        <v>0</v>
      </c>
      <c r="G20" s="242">
        <v>0</v>
      </c>
      <c r="H20" s="242">
        <v>0</v>
      </c>
      <c r="I20" s="242">
        <v>0</v>
      </c>
      <c r="J20" s="242">
        <v>0</v>
      </c>
      <c r="K20" s="242">
        <v>0</v>
      </c>
      <c r="L20" s="242">
        <v>0</v>
      </c>
      <c r="M20" s="242">
        <v>0</v>
      </c>
      <c r="N20" s="242">
        <v>0</v>
      </c>
      <c r="O20" s="242">
        <v>0</v>
      </c>
      <c r="P20" s="242">
        <v>0</v>
      </c>
      <c r="Q20" s="242">
        <v>0</v>
      </c>
      <c r="R20" s="242">
        <v>0</v>
      </c>
      <c r="S20" s="242">
        <v>0</v>
      </c>
      <c r="T20" s="242">
        <v>0</v>
      </c>
    </row>
    <row r="21" spans="1:20" ht="18" customHeight="1">
      <c r="A21" s="247">
        <v>7</v>
      </c>
      <c r="B21" s="591" t="s">
        <v>336</v>
      </c>
      <c r="C21" s="250">
        <f t="shared" si="2"/>
        <v>0</v>
      </c>
      <c r="D21" s="250">
        <f t="shared" si="2"/>
        <v>0</v>
      </c>
      <c r="E21" s="242">
        <v>0</v>
      </c>
      <c r="F21" s="242">
        <v>0</v>
      </c>
      <c r="G21" s="242">
        <v>0</v>
      </c>
      <c r="H21" s="242">
        <v>0</v>
      </c>
      <c r="I21" s="242">
        <v>0</v>
      </c>
      <c r="J21" s="242">
        <v>0</v>
      </c>
      <c r="K21" s="242">
        <v>0</v>
      </c>
      <c r="L21" s="242">
        <v>0</v>
      </c>
      <c r="M21" s="242">
        <v>0</v>
      </c>
      <c r="N21" s="242">
        <v>0</v>
      </c>
      <c r="O21" s="242">
        <v>0</v>
      </c>
      <c r="P21" s="242">
        <v>0</v>
      </c>
      <c r="Q21" s="242">
        <v>0</v>
      </c>
      <c r="R21" s="242">
        <v>0</v>
      </c>
      <c r="S21" s="242">
        <v>0</v>
      </c>
      <c r="T21" s="242">
        <v>0</v>
      </c>
    </row>
    <row r="22" spans="1:20" ht="17.25" customHeight="1">
      <c r="A22" s="247">
        <v>8</v>
      </c>
      <c r="B22" s="591" t="s">
        <v>337</v>
      </c>
      <c r="C22" s="250">
        <f t="shared" si="2"/>
        <v>0</v>
      </c>
      <c r="D22" s="250">
        <f t="shared" si="2"/>
        <v>0</v>
      </c>
      <c r="E22" s="242">
        <v>0</v>
      </c>
      <c r="F22" s="242">
        <v>0</v>
      </c>
      <c r="G22" s="242">
        <v>0</v>
      </c>
      <c r="H22" s="242">
        <v>0</v>
      </c>
      <c r="I22" s="242">
        <v>0</v>
      </c>
      <c r="J22" s="242">
        <v>0</v>
      </c>
      <c r="K22" s="242">
        <v>0</v>
      </c>
      <c r="L22" s="242">
        <v>0</v>
      </c>
      <c r="M22" s="242">
        <v>0</v>
      </c>
      <c r="N22" s="242">
        <v>0</v>
      </c>
      <c r="O22" s="242">
        <v>0</v>
      </c>
      <c r="P22" s="242">
        <v>0</v>
      </c>
      <c r="Q22" s="242">
        <v>0</v>
      </c>
      <c r="R22" s="242">
        <v>0</v>
      </c>
      <c r="S22" s="242">
        <v>0</v>
      </c>
      <c r="T22" s="242">
        <v>0</v>
      </c>
    </row>
    <row r="23" spans="1:20" ht="16.5" customHeight="1">
      <c r="A23" s="247">
        <v>9</v>
      </c>
      <c r="B23" s="591" t="s">
        <v>338</v>
      </c>
      <c r="C23" s="250">
        <f t="shared" si="2"/>
        <v>0</v>
      </c>
      <c r="D23" s="250">
        <f t="shared" si="2"/>
        <v>0</v>
      </c>
      <c r="E23" s="242">
        <v>0</v>
      </c>
      <c r="F23" s="242">
        <v>0</v>
      </c>
      <c r="G23" s="242">
        <v>0</v>
      </c>
      <c r="H23" s="242">
        <v>0</v>
      </c>
      <c r="I23" s="242">
        <v>0</v>
      </c>
      <c r="J23" s="242">
        <v>0</v>
      </c>
      <c r="K23" s="242">
        <v>0</v>
      </c>
      <c r="L23" s="242">
        <v>0</v>
      </c>
      <c r="M23" s="242">
        <v>0</v>
      </c>
      <c r="N23" s="242">
        <v>0</v>
      </c>
      <c r="O23" s="242">
        <v>0</v>
      </c>
      <c r="P23" s="242">
        <v>0</v>
      </c>
      <c r="Q23" s="242">
        <v>0</v>
      </c>
      <c r="R23" s="242">
        <v>0</v>
      </c>
      <c r="S23" s="242">
        <v>0</v>
      </c>
      <c r="T23" s="242">
        <v>0</v>
      </c>
    </row>
    <row r="24" spans="1:20" ht="19.5" customHeight="1" thickBot="1">
      <c r="A24" s="248">
        <v>10</v>
      </c>
      <c r="B24" s="592" t="s">
        <v>339</v>
      </c>
      <c r="C24" s="450">
        <f t="shared" si="2"/>
        <v>0</v>
      </c>
      <c r="D24" s="450">
        <f t="shared" si="2"/>
        <v>0</v>
      </c>
      <c r="E24" s="244">
        <v>0</v>
      </c>
      <c r="F24" s="244">
        <v>0</v>
      </c>
      <c r="G24" s="244">
        <v>0</v>
      </c>
      <c r="H24" s="244">
        <v>0</v>
      </c>
      <c r="I24" s="244">
        <v>0</v>
      </c>
      <c r="J24" s="244">
        <v>0</v>
      </c>
      <c r="K24" s="244">
        <v>0</v>
      </c>
      <c r="L24" s="244">
        <v>0</v>
      </c>
      <c r="M24" s="244">
        <v>0</v>
      </c>
      <c r="N24" s="244">
        <v>0</v>
      </c>
      <c r="O24" s="244">
        <v>0</v>
      </c>
      <c r="P24" s="244">
        <v>0</v>
      </c>
      <c r="Q24" s="244">
        <v>0</v>
      </c>
      <c r="R24" s="244">
        <v>0</v>
      </c>
      <c r="S24" s="244">
        <v>0</v>
      </c>
      <c r="T24" s="244">
        <v>0</v>
      </c>
    </row>
    <row r="25" spans="1:20" ht="17.25" thickTop="1">
      <c r="A25" s="909" t="str">
        <f>'Thông tin'!B7</f>
        <v>Bình Thuận, ngày 06 tháng 4 năm 2016</v>
      </c>
      <c r="B25" s="909"/>
      <c r="C25" s="909"/>
      <c r="D25" s="909"/>
      <c r="E25" s="909"/>
      <c r="F25" s="909"/>
      <c r="G25" s="909"/>
      <c r="H25" s="529"/>
      <c r="I25" s="529"/>
      <c r="J25" s="543"/>
      <c r="K25" s="544"/>
      <c r="L25" s="544"/>
      <c r="M25" s="910" t="str">
        <f>'Thông tin'!B7</f>
        <v>Bình Thuận, ngày 06 tháng 4 năm 2016</v>
      </c>
      <c r="N25" s="910"/>
      <c r="O25" s="910"/>
      <c r="P25" s="910"/>
      <c r="Q25" s="910"/>
      <c r="R25" s="910"/>
      <c r="S25" s="910"/>
      <c r="T25" s="910"/>
    </row>
    <row r="26" spans="1:20" ht="18.75" customHeight="1">
      <c r="A26" s="911" t="s">
        <v>31</v>
      </c>
      <c r="B26" s="911"/>
      <c r="C26" s="911"/>
      <c r="D26" s="911"/>
      <c r="E26" s="911"/>
      <c r="F26" s="911"/>
      <c r="G26" s="911"/>
      <c r="H26" s="525"/>
      <c r="I26" s="525"/>
      <c r="J26" s="525"/>
      <c r="K26" s="529"/>
      <c r="L26" s="529"/>
      <c r="M26" s="872" t="s">
        <v>355</v>
      </c>
      <c r="N26" s="872"/>
      <c r="O26" s="872"/>
      <c r="P26" s="872"/>
      <c r="Q26" s="872"/>
      <c r="R26" s="872"/>
      <c r="S26" s="872"/>
      <c r="T26" s="872"/>
    </row>
    <row r="27" spans="1:20" ht="19.5" customHeight="1">
      <c r="A27" s="526"/>
      <c r="B27" s="908"/>
      <c r="C27" s="908"/>
      <c r="D27" s="908"/>
      <c r="E27" s="908"/>
      <c r="F27" s="908"/>
      <c r="G27" s="532"/>
      <c r="H27" s="532"/>
      <c r="I27" s="532"/>
      <c r="J27" s="532"/>
      <c r="K27" s="529"/>
      <c r="L27" s="529"/>
      <c r="M27" s="872" t="s">
        <v>354</v>
      </c>
      <c r="N27" s="872"/>
      <c r="O27" s="872"/>
      <c r="P27" s="872"/>
      <c r="Q27" s="872"/>
      <c r="R27" s="872"/>
      <c r="S27" s="872"/>
      <c r="T27" s="872"/>
    </row>
    <row r="28" spans="1:20" ht="16.5">
      <c r="A28" s="526"/>
      <c r="B28" s="534"/>
      <c r="C28" s="534"/>
      <c r="D28" s="534"/>
      <c r="E28" s="534"/>
      <c r="F28" s="534"/>
      <c r="G28" s="534"/>
      <c r="H28" s="534"/>
      <c r="I28" s="534"/>
      <c r="J28" s="534"/>
      <c r="K28" s="529"/>
      <c r="L28" s="529"/>
      <c r="M28" s="529"/>
      <c r="N28" s="529"/>
      <c r="O28" s="529"/>
      <c r="P28" s="529"/>
      <c r="Q28" s="529"/>
      <c r="R28" s="529"/>
      <c r="S28" s="529"/>
      <c r="T28" s="529"/>
    </row>
    <row r="29" spans="1:20" ht="16.5">
      <c r="A29" s="526"/>
      <c r="B29" s="534"/>
      <c r="C29" s="534"/>
      <c r="D29" s="534"/>
      <c r="E29" s="534"/>
      <c r="F29" s="534"/>
      <c r="G29" s="534"/>
      <c r="H29" s="534"/>
      <c r="I29" s="534"/>
      <c r="J29" s="534"/>
      <c r="K29" s="529"/>
      <c r="L29" s="529"/>
      <c r="M29" s="529"/>
      <c r="N29" s="529"/>
      <c r="O29" s="529"/>
      <c r="P29" s="529"/>
      <c r="Q29" s="529"/>
      <c r="R29" s="529"/>
      <c r="S29" s="529"/>
      <c r="T29" s="529"/>
    </row>
    <row r="30" spans="1:20" ht="16.5">
      <c r="A30" s="526"/>
      <c r="B30" s="534"/>
      <c r="C30" s="534"/>
      <c r="D30" s="534"/>
      <c r="E30" s="534"/>
      <c r="F30" s="534"/>
      <c r="G30" s="534"/>
      <c r="H30" s="534"/>
      <c r="I30" s="534"/>
      <c r="J30" s="534"/>
      <c r="K30" s="529"/>
      <c r="L30" s="529"/>
      <c r="M30" s="543"/>
      <c r="N30" s="543"/>
      <c r="O30" s="543"/>
      <c r="P30" s="543"/>
      <c r="Q30" s="543"/>
      <c r="R30" s="529"/>
      <c r="S30" s="529"/>
      <c r="T30" s="529"/>
    </row>
    <row r="31" spans="1:20" ht="16.5">
      <c r="A31" s="526"/>
      <c r="B31" s="534"/>
      <c r="C31" s="534"/>
      <c r="D31" s="534"/>
      <c r="E31" s="534"/>
      <c r="F31" s="534"/>
      <c r="G31" s="534"/>
      <c r="H31" s="534"/>
      <c r="I31" s="534"/>
      <c r="J31" s="534"/>
      <c r="K31" s="529"/>
      <c r="L31" s="529"/>
      <c r="M31" s="543"/>
      <c r="N31" s="543"/>
      <c r="O31" s="543"/>
      <c r="P31" s="543"/>
      <c r="Q31" s="543"/>
      <c r="R31" s="529"/>
      <c r="S31" s="529"/>
      <c r="T31" s="529"/>
    </row>
    <row r="32" spans="1:20" ht="16.5">
      <c r="A32" s="864" t="str">
        <f>'Thông tin'!B4</f>
        <v>Trần Quốc Bảo</v>
      </c>
      <c r="B32" s="864"/>
      <c r="C32" s="864"/>
      <c r="D32" s="864"/>
      <c r="E32" s="864"/>
      <c r="F32" s="864"/>
      <c r="G32" s="864"/>
      <c r="H32" s="534"/>
      <c r="I32" s="534"/>
      <c r="J32" s="534"/>
      <c r="K32" s="529"/>
      <c r="L32" s="529"/>
      <c r="M32" s="864" t="str">
        <f>'Thông tin'!B5</f>
        <v>Trần Nam</v>
      </c>
      <c r="N32" s="864"/>
      <c r="O32" s="864"/>
      <c r="P32" s="864"/>
      <c r="Q32" s="864"/>
      <c r="R32" s="864"/>
      <c r="S32" s="864"/>
      <c r="T32" s="864"/>
    </row>
  </sheetData>
  <mergeCells count="39">
    <mergeCell ref="A25:G25"/>
    <mergeCell ref="M25:T25"/>
    <mergeCell ref="A26:G26"/>
    <mergeCell ref="M26:T26"/>
    <mergeCell ref="B27:F27"/>
    <mergeCell ref="M27:T27"/>
    <mergeCell ref="A32:G32"/>
    <mergeCell ref="M32:T32"/>
    <mergeCell ref="A11:B11"/>
    <mergeCell ref="A12:B12"/>
    <mergeCell ref="M8:N8"/>
    <mergeCell ref="O8:T8"/>
    <mergeCell ref="E9:E10"/>
    <mergeCell ref="F9:F10"/>
    <mergeCell ref="G9:H9"/>
    <mergeCell ref="I9:J9"/>
    <mergeCell ref="K9:L9"/>
    <mergeCell ref="Q9:R9"/>
    <mergeCell ref="N9:N10"/>
    <mergeCell ref="O9:P9"/>
    <mergeCell ref="F5:O5"/>
    <mergeCell ref="S9:T9"/>
    <mergeCell ref="P5:T5"/>
    <mergeCell ref="A6:B10"/>
    <mergeCell ref="C6:D6"/>
    <mergeCell ref="E6:T6"/>
    <mergeCell ref="C7:C10"/>
    <mergeCell ref="D7:D10"/>
    <mergeCell ref="E7:L7"/>
    <mergeCell ref="M7:T7"/>
    <mergeCell ref="E8:F8"/>
    <mergeCell ref="G8:L8"/>
    <mergeCell ref="M9:M10"/>
    <mergeCell ref="E4:O4"/>
    <mergeCell ref="A1:D1"/>
    <mergeCell ref="A2:D2"/>
    <mergeCell ref="P2:T2"/>
    <mergeCell ref="A3:D3"/>
    <mergeCell ref="E1:O3"/>
  </mergeCells>
  <printOptions/>
  <pageMargins left="0" right="0" top="0" bottom="0" header="0.5" footer="0.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42"/>
  </sheetPr>
  <dimension ref="A1:L31"/>
  <sheetViews>
    <sheetView workbookViewId="0" topLeftCell="A7">
      <selection activeCell="L14" sqref="L14:L23"/>
    </sheetView>
  </sheetViews>
  <sheetFormatPr defaultColWidth="9.00390625" defaultRowHeight="15.75"/>
  <cols>
    <col min="1" max="1" width="3.625" style="0" customWidth="1"/>
    <col min="2" max="2" width="22.375" style="0" customWidth="1"/>
    <col min="3" max="3" width="10.25390625" style="0" customWidth="1"/>
    <col min="4" max="4" width="11.125" style="0" customWidth="1"/>
    <col min="5" max="6" width="10.375" style="0" customWidth="1"/>
    <col min="7" max="7" width="10.00390625" style="0" customWidth="1"/>
    <col min="8" max="8" width="11.125" style="0" customWidth="1"/>
    <col min="9" max="9" width="10.75390625" style="0" customWidth="1"/>
    <col min="10" max="10" width="10.625" style="0" customWidth="1"/>
    <col min="11" max="11" width="10.125" style="0" customWidth="1"/>
    <col min="12" max="12" width="10.25390625" style="0" customWidth="1"/>
  </cols>
  <sheetData>
    <row r="1" spans="1:12" ht="15.75" customHeight="1">
      <c r="A1" s="884" t="s">
        <v>522</v>
      </c>
      <c r="B1" s="884"/>
      <c r="C1" s="884"/>
      <c r="D1" s="915" t="s">
        <v>581</v>
      </c>
      <c r="E1" s="915"/>
      <c r="F1" s="915"/>
      <c r="G1" s="915"/>
      <c r="H1" s="915"/>
      <c r="I1" s="915"/>
      <c r="J1" s="546" t="s">
        <v>358</v>
      </c>
      <c r="K1" s="546"/>
      <c r="L1" s="546"/>
    </row>
    <row r="2" spans="1:12" ht="15.75" customHeight="1">
      <c r="A2" s="913" t="s">
        <v>451</v>
      </c>
      <c r="B2" s="913"/>
      <c r="C2" s="913"/>
      <c r="D2" s="915"/>
      <c r="E2" s="915"/>
      <c r="F2" s="915"/>
      <c r="G2" s="915"/>
      <c r="H2" s="915"/>
      <c r="I2" s="915"/>
      <c r="J2" s="547" t="str">
        <f>'Thông tin'!B3</f>
        <v>Cục THADS tỉnh Bình Thuận</v>
      </c>
      <c r="K2" s="547"/>
      <c r="L2" s="547"/>
    </row>
    <row r="3" spans="1:12" ht="15.75">
      <c r="A3" s="884" t="s">
        <v>248</v>
      </c>
      <c r="B3" s="884"/>
      <c r="C3" s="884"/>
      <c r="D3" s="918" t="str">
        <f>'Thông tin'!B2</f>
        <v>6 tháng / năm 2016</v>
      </c>
      <c r="E3" s="918"/>
      <c r="F3" s="918"/>
      <c r="G3" s="918"/>
      <c r="H3" s="918"/>
      <c r="I3" s="918"/>
      <c r="J3" s="917" t="s">
        <v>359</v>
      </c>
      <c r="K3" s="917"/>
      <c r="L3" s="917"/>
    </row>
    <row r="4" spans="1:12" ht="15.75">
      <c r="A4" s="916" t="s">
        <v>86</v>
      </c>
      <c r="B4" s="916"/>
      <c r="C4" s="916"/>
      <c r="D4" s="912" t="s">
        <v>535</v>
      </c>
      <c r="E4" s="912"/>
      <c r="F4" s="912"/>
      <c r="G4" s="912"/>
      <c r="H4" s="912"/>
      <c r="I4" s="912"/>
      <c r="J4" s="885" t="s">
        <v>350</v>
      </c>
      <c r="K4" s="885"/>
      <c r="L4" s="885"/>
    </row>
    <row r="5" spans="1:12" ht="15.75">
      <c r="A5" s="919"/>
      <c r="B5" s="919"/>
      <c r="C5" s="545"/>
      <c r="D5" s="548"/>
      <c r="E5" s="548"/>
      <c r="F5" s="548"/>
      <c r="G5" s="548"/>
      <c r="H5" s="549"/>
      <c r="I5" s="550"/>
      <c r="J5" s="914" t="s">
        <v>523</v>
      </c>
      <c r="K5" s="914"/>
      <c r="L5" s="914"/>
    </row>
    <row r="6" spans="1:12" ht="15.75">
      <c r="A6" s="928" t="s">
        <v>61</v>
      </c>
      <c r="B6" s="929"/>
      <c r="C6" s="920" t="s">
        <v>524</v>
      </c>
      <c r="D6" s="922" t="s">
        <v>525</v>
      </c>
      <c r="E6" s="923"/>
      <c r="F6" s="924"/>
      <c r="G6" s="922" t="s">
        <v>526</v>
      </c>
      <c r="H6" s="923"/>
      <c r="I6" s="923"/>
      <c r="J6" s="923"/>
      <c r="K6" s="923"/>
      <c r="L6" s="924"/>
    </row>
    <row r="7" spans="1:12" ht="15.75">
      <c r="A7" s="930"/>
      <c r="B7" s="931"/>
      <c r="C7" s="925"/>
      <c r="D7" s="922" t="s">
        <v>6</v>
      </c>
      <c r="E7" s="923"/>
      <c r="F7" s="924"/>
      <c r="G7" s="920" t="s">
        <v>26</v>
      </c>
      <c r="H7" s="922" t="s">
        <v>6</v>
      </c>
      <c r="I7" s="923"/>
      <c r="J7" s="923"/>
      <c r="K7" s="923"/>
      <c r="L7" s="924"/>
    </row>
    <row r="8" spans="1:12" ht="15.75">
      <c r="A8" s="930"/>
      <c r="B8" s="931"/>
      <c r="C8" s="925"/>
      <c r="D8" s="920" t="s">
        <v>527</v>
      </c>
      <c r="E8" s="920" t="s">
        <v>528</v>
      </c>
      <c r="F8" s="920" t="s">
        <v>529</v>
      </c>
      <c r="G8" s="925"/>
      <c r="H8" s="920" t="s">
        <v>530</v>
      </c>
      <c r="I8" s="920" t="s">
        <v>531</v>
      </c>
      <c r="J8" s="920" t="s">
        <v>532</v>
      </c>
      <c r="K8" s="920" t="s">
        <v>533</v>
      </c>
      <c r="L8" s="920" t="s">
        <v>534</v>
      </c>
    </row>
    <row r="9" spans="1:12" ht="89.25" customHeight="1">
      <c r="A9" s="932"/>
      <c r="B9" s="933"/>
      <c r="C9" s="921"/>
      <c r="D9" s="921"/>
      <c r="E9" s="921"/>
      <c r="F9" s="921"/>
      <c r="G9" s="921"/>
      <c r="H9" s="921"/>
      <c r="I9" s="921"/>
      <c r="J9" s="921"/>
      <c r="K9" s="921"/>
      <c r="L9" s="921"/>
    </row>
    <row r="10" spans="1:12" ht="15.75">
      <c r="A10" s="926" t="s">
        <v>5</v>
      </c>
      <c r="B10" s="927"/>
      <c r="C10" s="449">
        <v>1</v>
      </c>
      <c r="D10" s="449">
        <v>2</v>
      </c>
      <c r="E10" s="449">
        <v>3</v>
      </c>
      <c r="F10" s="449">
        <v>4</v>
      </c>
      <c r="G10" s="449">
        <v>5</v>
      </c>
      <c r="H10" s="449">
        <v>6</v>
      </c>
      <c r="I10" s="449">
        <v>7</v>
      </c>
      <c r="J10" s="449">
        <v>8</v>
      </c>
      <c r="K10" s="449" t="s">
        <v>67</v>
      </c>
      <c r="L10" s="449" t="s">
        <v>85</v>
      </c>
    </row>
    <row r="11" spans="1:12" ht="17.25" customHeight="1">
      <c r="A11" s="934" t="s">
        <v>26</v>
      </c>
      <c r="B11" s="935"/>
      <c r="C11" s="250">
        <f>C12+C13</f>
        <v>4</v>
      </c>
      <c r="D11" s="250">
        <f aca="true" t="shared" si="0" ref="D11:L11">D12+D13</f>
        <v>0</v>
      </c>
      <c r="E11" s="250">
        <f t="shared" si="0"/>
        <v>0</v>
      </c>
      <c r="F11" s="250">
        <f t="shared" si="0"/>
        <v>4</v>
      </c>
      <c r="G11" s="250">
        <f t="shared" si="0"/>
        <v>4</v>
      </c>
      <c r="H11" s="250">
        <f t="shared" si="0"/>
        <v>2</v>
      </c>
      <c r="I11" s="250">
        <f t="shared" si="0"/>
        <v>0</v>
      </c>
      <c r="J11" s="250">
        <f t="shared" si="0"/>
        <v>0</v>
      </c>
      <c r="K11" s="250">
        <f t="shared" si="0"/>
        <v>0</v>
      </c>
      <c r="L11" s="250">
        <f t="shared" si="0"/>
        <v>2</v>
      </c>
    </row>
    <row r="12" spans="1:12" ht="18.75" customHeight="1">
      <c r="A12" s="247" t="s">
        <v>0</v>
      </c>
      <c r="B12" s="589" t="s">
        <v>390</v>
      </c>
      <c r="C12" s="609">
        <f>D12+E12+F12</f>
        <v>0</v>
      </c>
      <c r="D12" s="610">
        <v>0</v>
      </c>
      <c r="E12" s="610">
        <v>0</v>
      </c>
      <c r="F12" s="610">
        <v>0</v>
      </c>
      <c r="G12" s="609">
        <f>H12+I12+J12+K12+L12</f>
        <v>0</v>
      </c>
      <c r="H12" s="610">
        <v>0</v>
      </c>
      <c r="I12" s="610">
        <v>0</v>
      </c>
      <c r="J12" s="611">
        <v>0</v>
      </c>
      <c r="K12" s="611">
        <v>0</v>
      </c>
      <c r="L12" s="611">
        <v>0</v>
      </c>
    </row>
    <row r="13" spans="1:12" ht="17.25" customHeight="1">
      <c r="A13" s="478" t="s">
        <v>1</v>
      </c>
      <c r="B13" s="590" t="s">
        <v>14</v>
      </c>
      <c r="C13" s="609">
        <f>C14+C15+C16+C17+C18+C19+C20+C21+C22+C23</f>
        <v>4</v>
      </c>
      <c r="D13" s="609">
        <f aca="true" t="shared" si="1" ref="D13:L13">D14+D15+D16+D17+D18+D19+D20+D21+D22+D23</f>
        <v>0</v>
      </c>
      <c r="E13" s="609">
        <f t="shared" si="1"/>
        <v>0</v>
      </c>
      <c r="F13" s="609">
        <f t="shared" si="1"/>
        <v>4</v>
      </c>
      <c r="G13" s="609">
        <f t="shared" si="1"/>
        <v>4</v>
      </c>
      <c r="H13" s="609">
        <f t="shared" si="1"/>
        <v>2</v>
      </c>
      <c r="I13" s="609">
        <f t="shared" si="1"/>
        <v>0</v>
      </c>
      <c r="J13" s="609">
        <f t="shared" si="1"/>
        <v>0</v>
      </c>
      <c r="K13" s="609">
        <f t="shared" si="1"/>
        <v>0</v>
      </c>
      <c r="L13" s="609">
        <f t="shared" si="1"/>
        <v>2</v>
      </c>
    </row>
    <row r="14" spans="1:12" ht="18" customHeight="1">
      <c r="A14" s="247">
        <v>1</v>
      </c>
      <c r="B14" s="591" t="s">
        <v>330</v>
      </c>
      <c r="C14" s="609">
        <f>D14+E14+F14</f>
        <v>1</v>
      </c>
      <c r="D14" s="610">
        <v>0</v>
      </c>
      <c r="E14" s="610">
        <v>0</v>
      </c>
      <c r="F14" s="610">
        <v>1</v>
      </c>
      <c r="G14" s="609">
        <f>H14+I14+J14+K14+L14</f>
        <v>1</v>
      </c>
      <c r="H14" s="610">
        <v>1</v>
      </c>
      <c r="I14" s="610">
        <v>0</v>
      </c>
      <c r="J14" s="611">
        <v>0</v>
      </c>
      <c r="K14" s="611">
        <v>0</v>
      </c>
      <c r="L14" s="611">
        <v>0</v>
      </c>
    </row>
    <row r="15" spans="1:12" ht="17.25" customHeight="1">
      <c r="A15" s="247">
        <v>2</v>
      </c>
      <c r="B15" s="591" t="s">
        <v>331</v>
      </c>
      <c r="C15" s="609">
        <f aca="true" t="shared" si="2" ref="C15:C23">D15+E15+F15</f>
        <v>0</v>
      </c>
      <c r="D15" s="610">
        <v>0</v>
      </c>
      <c r="E15" s="610">
        <v>0</v>
      </c>
      <c r="F15" s="610">
        <v>0</v>
      </c>
      <c r="G15" s="609">
        <f aca="true" t="shared" si="3" ref="G15:G22">H15+I15+J15+K15+L15</f>
        <v>0</v>
      </c>
      <c r="H15" s="610">
        <v>0</v>
      </c>
      <c r="I15" s="610">
        <v>0</v>
      </c>
      <c r="J15" s="611">
        <v>0</v>
      </c>
      <c r="K15" s="611">
        <v>0</v>
      </c>
      <c r="L15" s="611">
        <v>0</v>
      </c>
    </row>
    <row r="16" spans="1:12" ht="18" customHeight="1">
      <c r="A16" s="247">
        <v>3</v>
      </c>
      <c r="B16" s="591" t="s">
        <v>332</v>
      </c>
      <c r="C16" s="609">
        <f t="shared" si="2"/>
        <v>1</v>
      </c>
      <c r="D16" s="610">
        <v>0</v>
      </c>
      <c r="E16" s="610">
        <v>0</v>
      </c>
      <c r="F16" s="610">
        <v>1</v>
      </c>
      <c r="G16" s="609">
        <f t="shared" si="3"/>
        <v>1</v>
      </c>
      <c r="H16" s="610">
        <v>1</v>
      </c>
      <c r="I16" s="610">
        <v>0</v>
      </c>
      <c r="J16" s="611">
        <v>0</v>
      </c>
      <c r="K16" s="611">
        <v>0</v>
      </c>
      <c r="L16" s="611">
        <v>0</v>
      </c>
    </row>
    <row r="17" spans="1:12" ht="18" customHeight="1">
      <c r="A17" s="247">
        <v>4</v>
      </c>
      <c r="B17" s="591" t="s">
        <v>333</v>
      </c>
      <c r="C17" s="609">
        <f t="shared" si="2"/>
        <v>0</v>
      </c>
      <c r="D17" s="610">
        <v>0</v>
      </c>
      <c r="E17" s="610">
        <v>0</v>
      </c>
      <c r="F17" s="610">
        <v>0</v>
      </c>
      <c r="G17" s="609">
        <f t="shared" si="3"/>
        <v>0</v>
      </c>
      <c r="H17" s="610">
        <v>0</v>
      </c>
      <c r="I17" s="610">
        <v>0</v>
      </c>
      <c r="J17" s="611">
        <v>0</v>
      </c>
      <c r="K17" s="611">
        <v>0</v>
      </c>
      <c r="L17" s="611">
        <v>0</v>
      </c>
    </row>
    <row r="18" spans="1:12" ht="17.25" customHeight="1">
      <c r="A18" s="247">
        <v>5</v>
      </c>
      <c r="B18" s="591" t="s">
        <v>334</v>
      </c>
      <c r="C18" s="609">
        <f t="shared" si="2"/>
        <v>1</v>
      </c>
      <c r="D18" s="610">
        <v>0</v>
      </c>
      <c r="E18" s="610">
        <v>0</v>
      </c>
      <c r="F18" s="610">
        <v>1</v>
      </c>
      <c r="G18" s="609">
        <f t="shared" si="3"/>
        <v>1</v>
      </c>
      <c r="H18" s="610">
        <v>0</v>
      </c>
      <c r="I18" s="610">
        <v>0</v>
      </c>
      <c r="J18" s="611">
        <v>0</v>
      </c>
      <c r="K18" s="611">
        <v>0</v>
      </c>
      <c r="L18" s="611">
        <v>1</v>
      </c>
    </row>
    <row r="19" spans="1:12" ht="17.25" customHeight="1">
      <c r="A19" s="247">
        <v>6</v>
      </c>
      <c r="B19" s="591" t="s">
        <v>335</v>
      </c>
      <c r="C19" s="609">
        <f t="shared" si="2"/>
        <v>0</v>
      </c>
      <c r="D19" s="610">
        <v>0</v>
      </c>
      <c r="E19" s="610">
        <v>0</v>
      </c>
      <c r="F19" s="610">
        <v>0</v>
      </c>
      <c r="G19" s="609">
        <f t="shared" si="3"/>
        <v>0</v>
      </c>
      <c r="H19" s="610">
        <v>0</v>
      </c>
      <c r="I19" s="610">
        <v>0</v>
      </c>
      <c r="J19" s="611">
        <v>0</v>
      </c>
      <c r="K19" s="611">
        <v>0</v>
      </c>
      <c r="L19" s="611">
        <v>0</v>
      </c>
    </row>
    <row r="20" spans="1:12" ht="18.75" customHeight="1">
      <c r="A20" s="247">
        <v>7</v>
      </c>
      <c r="B20" s="591" t="s">
        <v>336</v>
      </c>
      <c r="C20" s="609">
        <f t="shared" si="2"/>
        <v>0</v>
      </c>
      <c r="D20" s="610">
        <v>0</v>
      </c>
      <c r="E20" s="610">
        <v>0</v>
      </c>
      <c r="F20" s="610">
        <v>0</v>
      </c>
      <c r="G20" s="609">
        <f t="shared" si="3"/>
        <v>0</v>
      </c>
      <c r="H20" s="610">
        <v>0</v>
      </c>
      <c r="I20" s="610">
        <v>0</v>
      </c>
      <c r="J20" s="611">
        <v>0</v>
      </c>
      <c r="K20" s="611">
        <v>0</v>
      </c>
      <c r="L20" s="611">
        <v>0</v>
      </c>
    </row>
    <row r="21" spans="1:12" ht="17.25" customHeight="1">
      <c r="A21" s="247">
        <v>8</v>
      </c>
      <c r="B21" s="591" t="s">
        <v>337</v>
      </c>
      <c r="C21" s="609">
        <f t="shared" si="2"/>
        <v>0</v>
      </c>
      <c r="D21" s="610">
        <v>0</v>
      </c>
      <c r="E21" s="610">
        <v>0</v>
      </c>
      <c r="F21" s="610">
        <v>0</v>
      </c>
      <c r="G21" s="609">
        <f t="shared" si="3"/>
        <v>0</v>
      </c>
      <c r="H21" s="610">
        <v>0</v>
      </c>
      <c r="I21" s="610">
        <v>0</v>
      </c>
      <c r="J21" s="611">
        <v>0</v>
      </c>
      <c r="K21" s="611">
        <v>0</v>
      </c>
      <c r="L21" s="611">
        <v>0</v>
      </c>
    </row>
    <row r="22" spans="1:12" ht="17.25" customHeight="1">
      <c r="A22" s="247">
        <v>9</v>
      </c>
      <c r="B22" s="591" t="s">
        <v>338</v>
      </c>
      <c r="C22" s="609">
        <f t="shared" si="2"/>
        <v>0</v>
      </c>
      <c r="D22" s="610">
        <v>0</v>
      </c>
      <c r="E22" s="610">
        <v>0</v>
      </c>
      <c r="F22" s="610">
        <v>0</v>
      </c>
      <c r="G22" s="609">
        <f t="shared" si="3"/>
        <v>0</v>
      </c>
      <c r="H22" s="610">
        <v>0</v>
      </c>
      <c r="I22" s="610">
        <v>0</v>
      </c>
      <c r="J22" s="611">
        <v>0</v>
      </c>
      <c r="K22" s="611">
        <v>0</v>
      </c>
      <c r="L22" s="611">
        <v>0</v>
      </c>
    </row>
    <row r="23" spans="1:12" ht="20.25" customHeight="1" thickBot="1">
      <c r="A23" s="248">
        <v>10</v>
      </c>
      <c r="B23" s="592" t="s">
        <v>339</v>
      </c>
      <c r="C23" s="612">
        <f t="shared" si="2"/>
        <v>1</v>
      </c>
      <c r="D23" s="613">
        <v>0</v>
      </c>
      <c r="E23" s="613">
        <v>0</v>
      </c>
      <c r="F23" s="613">
        <v>1</v>
      </c>
      <c r="G23" s="612">
        <f>H23+I23+J23+K23+L23</f>
        <v>1</v>
      </c>
      <c r="H23" s="613">
        <v>0</v>
      </c>
      <c r="I23" s="613">
        <v>0</v>
      </c>
      <c r="J23" s="614">
        <v>0</v>
      </c>
      <c r="K23" s="614">
        <v>0</v>
      </c>
      <c r="L23" s="614">
        <v>1</v>
      </c>
    </row>
    <row r="24" spans="1:12" ht="17.25" thickTop="1">
      <c r="A24" s="909" t="str">
        <f>'Thông tin'!B7</f>
        <v>Bình Thuận, ngày 06 tháng 4 năm 2016</v>
      </c>
      <c r="B24" s="909"/>
      <c r="C24" s="909"/>
      <c r="D24" s="909"/>
      <c r="E24" s="909"/>
      <c r="F24" s="544"/>
      <c r="G24" s="544"/>
      <c r="H24" s="870" t="str">
        <f>'Thông tin'!B7</f>
        <v>Bình Thuận, ngày 06 tháng 4 năm 2016</v>
      </c>
      <c r="I24" s="870"/>
      <c r="J24" s="870"/>
      <c r="K24" s="870"/>
      <c r="L24" s="870"/>
    </row>
    <row r="25" spans="1:12" ht="16.5">
      <c r="A25" s="911" t="s">
        <v>4</v>
      </c>
      <c r="B25" s="911"/>
      <c r="C25" s="911"/>
      <c r="D25" s="911"/>
      <c r="E25" s="911"/>
      <c r="F25" s="529"/>
      <c r="G25" s="529"/>
      <c r="H25" s="872" t="s">
        <v>355</v>
      </c>
      <c r="I25" s="872"/>
      <c r="J25" s="872"/>
      <c r="K25" s="872"/>
      <c r="L25" s="872"/>
    </row>
    <row r="26" spans="1:12" ht="16.5">
      <c r="A26" s="543"/>
      <c r="B26" s="908"/>
      <c r="C26" s="908"/>
      <c r="D26" s="551"/>
      <c r="E26" s="551"/>
      <c r="F26" s="529"/>
      <c r="G26" s="529"/>
      <c r="H26" s="872" t="s">
        <v>354</v>
      </c>
      <c r="I26" s="872"/>
      <c r="J26" s="872"/>
      <c r="K26" s="872"/>
      <c r="L26" s="872"/>
    </row>
    <row r="27" spans="1:12" ht="16.5">
      <c r="A27" s="543"/>
      <c r="B27" s="543"/>
      <c r="C27" s="543"/>
      <c r="D27" s="543"/>
      <c r="E27" s="543"/>
      <c r="F27" s="529"/>
      <c r="G27" s="529"/>
      <c r="H27" s="529"/>
      <c r="I27" s="529"/>
      <c r="J27" s="529"/>
      <c r="K27" s="529"/>
      <c r="L27" s="529"/>
    </row>
    <row r="28" spans="1:12" ht="15.75">
      <c r="A28" s="543"/>
      <c r="B28" s="543"/>
      <c r="C28" s="543"/>
      <c r="D28" s="543"/>
      <c r="E28" s="543"/>
      <c r="F28" s="543"/>
      <c r="G28" s="543"/>
      <c r="H28" s="543"/>
      <c r="I28" s="543"/>
      <c r="J28" s="543"/>
      <c r="K28" s="543"/>
      <c r="L28" s="543"/>
    </row>
    <row r="29" spans="1:12" ht="15.75">
      <c r="A29" s="543"/>
      <c r="B29" s="543"/>
      <c r="C29" s="543"/>
      <c r="D29" s="543"/>
      <c r="E29" s="543"/>
      <c r="F29" s="543"/>
      <c r="G29" s="543"/>
      <c r="H29" s="543"/>
      <c r="I29" s="543"/>
      <c r="J29" s="543"/>
      <c r="K29" s="543"/>
      <c r="L29" s="543"/>
    </row>
    <row r="30" spans="1:12" ht="16.5">
      <c r="A30" s="864" t="str">
        <f>'Thông tin'!B4</f>
        <v>Trần Quốc Bảo</v>
      </c>
      <c r="B30" s="864"/>
      <c r="C30" s="864"/>
      <c r="D30" s="864"/>
      <c r="E30" s="864"/>
      <c r="F30" s="533"/>
      <c r="G30" s="552"/>
      <c r="H30" s="864" t="str">
        <f>'Thông tin'!B5</f>
        <v>Trần Nam</v>
      </c>
      <c r="I30" s="864"/>
      <c r="J30" s="864"/>
      <c r="K30" s="864"/>
      <c r="L30" s="864"/>
    </row>
    <row r="31" spans="1:7" ht="15.75">
      <c r="A31" s="466"/>
      <c r="B31" s="466"/>
      <c r="C31" s="466"/>
      <c r="D31" s="466"/>
      <c r="E31" s="466"/>
      <c r="F31" s="466"/>
      <c r="G31" s="466"/>
    </row>
  </sheetData>
  <mergeCells count="36">
    <mergeCell ref="B26:C26"/>
    <mergeCell ref="H26:L26"/>
    <mergeCell ref="A30:E30"/>
    <mergeCell ref="H30:L30"/>
    <mergeCell ref="A11:B11"/>
    <mergeCell ref="A24:E24"/>
    <mergeCell ref="H24:L24"/>
    <mergeCell ref="A25:E25"/>
    <mergeCell ref="H25:L25"/>
    <mergeCell ref="A10:B10"/>
    <mergeCell ref="E8:E9"/>
    <mergeCell ref="F8:F9"/>
    <mergeCell ref="H8:H9"/>
    <mergeCell ref="A6:B9"/>
    <mergeCell ref="C6:C9"/>
    <mergeCell ref="D6:F6"/>
    <mergeCell ref="A5:B5"/>
    <mergeCell ref="J8:J9"/>
    <mergeCell ref="I8:I9"/>
    <mergeCell ref="G6:L6"/>
    <mergeCell ref="D7:F7"/>
    <mergeCell ref="G7:G9"/>
    <mergeCell ref="H7:L7"/>
    <mergeCell ref="D8:D9"/>
    <mergeCell ref="K8:K9"/>
    <mergeCell ref="L8:L9"/>
    <mergeCell ref="D4:I4"/>
    <mergeCell ref="A1:C1"/>
    <mergeCell ref="A2:C2"/>
    <mergeCell ref="J5:L5"/>
    <mergeCell ref="D1:I2"/>
    <mergeCell ref="A3:C3"/>
    <mergeCell ref="A4:C4"/>
    <mergeCell ref="J3:L3"/>
    <mergeCell ref="J4:L4"/>
    <mergeCell ref="D3:I3"/>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sheetPr>
  <dimension ref="A1:M33"/>
  <sheetViews>
    <sheetView workbookViewId="0" topLeftCell="A7">
      <selection activeCell="A10" sqref="A10:L22"/>
    </sheetView>
  </sheetViews>
  <sheetFormatPr defaultColWidth="9.00390625" defaultRowHeight="15.75"/>
  <cols>
    <col min="1" max="1" width="3.625" style="0" customWidth="1"/>
    <col min="2" max="2" width="24.125" style="0" customWidth="1"/>
    <col min="3" max="3" width="9.625" style="0" customWidth="1"/>
    <col min="4" max="4" width="11.00390625" style="0" customWidth="1"/>
    <col min="5" max="5" width="10.50390625" style="0" customWidth="1"/>
    <col min="6" max="6" width="10.875" style="0" customWidth="1"/>
    <col min="7" max="7" width="10.375" style="0" customWidth="1"/>
    <col min="8" max="9" width="10.625" style="0" customWidth="1"/>
    <col min="10" max="10" width="10.00390625" style="0" customWidth="1"/>
    <col min="11" max="12" width="10.25390625" style="0" customWidth="1"/>
  </cols>
  <sheetData>
    <row r="1" spans="1:13" ht="15.75" customHeight="1">
      <c r="A1" s="884" t="s">
        <v>507</v>
      </c>
      <c r="B1" s="884"/>
      <c r="C1" s="884"/>
      <c r="D1" s="915" t="s">
        <v>584</v>
      </c>
      <c r="E1" s="915"/>
      <c r="F1" s="915"/>
      <c r="G1" s="915"/>
      <c r="H1" s="915"/>
      <c r="I1" s="915"/>
      <c r="J1" s="938" t="s">
        <v>589</v>
      </c>
      <c r="K1" s="938"/>
      <c r="L1" s="938"/>
      <c r="M1" s="468"/>
    </row>
    <row r="2" spans="1:13" ht="15.75" customHeight="1">
      <c r="A2" s="939" t="s">
        <v>583</v>
      </c>
      <c r="B2" s="884"/>
      <c r="C2" s="884"/>
      <c r="D2" s="915"/>
      <c r="E2" s="915"/>
      <c r="F2" s="915"/>
      <c r="G2" s="915"/>
      <c r="H2" s="915"/>
      <c r="I2" s="915"/>
      <c r="J2" s="942" t="str">
        <f>'Thông tin'!B3</f>
        <v>Cục THADS tỉnh Bình Thuận</v>
      </c>
      <c r="K2" s="942"/>
      <c r="L2" s="942"/>
      <c r="M2" s="468"/>
    </row>
    <row r="3" spans="1:13" ht="16.5" customHeight="1">
      <c r="A3" s="884"/>
      <c r="B3" s="884"/>
      <c r="C3" s="884"/>
      <c r="D3" s="915"/>
      <c r="E3" s="915"/>
      <c r="F3" s="915"/>
      <c r="G3" s="915"/>
      <c r="H3" s="915"/>
      <c r="I3" s="915"/>
      <c r="J3" s="940" t="s">
        <v>582</v>
      </c>
      <c r="K3" s="940"/>
      <c r="L3" s="940"/>
      <c r="M3" s="553"/>
    </row>
    <row r="4" spans="1:13" ht="16.5" customHeight="1">
      <c r="A4" s="469" t="s">
        <v>508</v>
      </c>
      <c r="D4" s="915" t="str">
        <f>'Thông tin'!B2</f>
        <v>6 tháng / năm 2016</v>
      </c>
      <c r="E4" s="915"/>
      <c r="F4" s="915"/>
      <c r="G4" s="915"/>
      <c r="H4" s="915"/>
      <c r="I4" s="915"/>
      <c r="J4" s="941" t="s">
        <v>350</v>
      </c>
      <c r="K4" s="941"/>
      <c r="L4" s="941"/>
      <c r="M4" s="495"/>
    </row>
    <row r="5" spans="2:13" ht="16.5" customHeight="1">
      <c r="B5" s="469"/>
      <c r="C5" s="470"/>
      <c r="D5" s="943" t="s">
        <v>408</v>
      </c>
      <c r="E5" s="943"/>
      <c r="F5" s="943"/>
      <c r="G5" s="943"/>
      <c r="H5" s="943"/>
      <c r="I5" s="943"/>
      <c r="J5" s="944" t="s">
        <v>509</v>
      </c>
      <c r="K5" s="944"/>
      <c r="L5" s="944"/>
      <c r="M5" s="468"/>
    </row>
    <row r="6" spans="1:13" ht="10.5" customHeight="1">
      <c r="A6" s="471"/>
      <c r="B6" s="471"/>
      <c r="C6" s="472"/>
      <c r="D6" s="472"/>
      <c r="E6" s="472"/>
      <c r="F6" s="472"/>
      <c r="G6" s="472"/>
      <c r="H6" s="473"/>
      <c r="I6" s="473"/>
      <c r="J6" s="472"/>
      <c r="K6" s="472"/>
      <c r="L6" s="472"/>
      <c r="M6" s="468"/>
    </row>
    <row r="7" spans="1:13" ht="21" customHeight="1">
      <c r="A7" s="945" t="s">
        <v>61</v>
      </c>
      <c r="B7" s="945"/>
      <c r="C7" s="901" t="s">
        <v>27</v>
      </c>
      <c r="D7" s="901" t="s">
        <v>510</v>
      </c>
      <c r="E7" s="901"/>
      <c r="F7" s="901"/>
      <c r="G7" s="901"/>
      <c r="H7" s="901" t="s">
        <v>511</v>
      </c>
      <c r="I7" s="901"/>
      <c r="J7" s="901" t="s">
        <v>512</v>
      </c>
      <c r="K7" s="901"/>
      <c r="L7" s="901"/>
      <c r="M7" s="468"/>
    </row>
    <row r="8" spans="1:13" ht="63.75">
      <c r="A8" s="945"/>
      <c r="B8" s="945"/>
      <c r="C8" s="901"/>
      <c r="D8" s="447" t="s">
        <v>513</v>
      </c>
      <c r="E8" s="447" t="s">
        <v>514</v>
      </c>
      <c r="F8" s="447" t="s">
        <v>515</v>
      </c>
      <c r="G8" s="447" t="s">
        <v>516</v>
      </c>
      <c r="H8" s="447" t="s">
        <v>517</v>
      </c>
      <c r="I8" s="447" t="s">
        <v>518</v>
      </c>
      <c r="J8" s="447" t="s">
        <v>519</v>
      </c>
      <c r="K8" s="447" t="s">
        <v>520</v>
      </c>
      <c r="L8" s="447" t="s">
        <v>521</v>
      </c>
      <c r="M8" s="468"/>
    </row>
    <row r="9" spans="1:13" ht="14.25" customHeight="1">
      <c r="A9" s="936" t="s">
        <v>5</v>
      </c>
      <c r="B9" s="936"/>
      <c r="C9" s="474">
        <v>1</v>
      </c>
      <c r="D9" s="474">
        <v>2</v>
      </c>
      <c r="E9" s="474">
        <v>3</v>
      </c>
      <c r="F9" s="474">
        <v>4</v>
      </c>
      <c r="G9" s="474">
        <v>5</v>
      </c>
      <c r="H9" s="474">
        <v>6</v>
      </c>
      <c r="I9" s="474">
        <v>7</v>
      </c>
      <c r="J9" s="474">
        <v>8</v>
      </c>
      <c r="K9" s="474">
        <v>9</v>
      </c>
      <c r="L9" s="474">
        <v>10</v>
      </c>
      <c r="M9" s="468"/>
    </row>
    <row r="10" spans="1:13" ht="19.5" customHeight="1">
      <c r="A10" s="937" t="s">
        <v>506</v>
      </c>
      <c r="B10" s="937"/>
      <c r="C10" s="250">
        <f>C11+C12</f>
        <v>6</v>
      </c>
      <c r="D10" s="250">
        <f aca="true" t="shared" si="0" ref="D10:K10">D11+D12</f>
        <v>0</v>
      </c>
      <c r="E10" s="250">
        <f t="shared" si="0"/>
        <v>5</v>
      </c>
      <c r="F10" s="250">
        <f t="shared" si="0"/>
        <v>0</v>
      </c>
      <c r="G10" s="250">
        <f t="shared" si="0"/>
        <v>1</v>
      </c>
      <c r="H10" s="250">
        <f t="shared" si="0"/>
        <v>6</v>
      </c>
      <c r="I10" s="250">
        <f t="shared" si="0"/>
        <v>0</v>
      </c>
      <c r="J10" s="250">
        <f t="shared" si="0"/>
        <v>6</v>
      </c>
      <c r="K10" s="250">
        <f t="shared" si="0"/>
        <v>0</v>
      </c>
      <c r="L10" s="250">
        <f>L12+L11</f>
        <v>0</v>
      </c>
      <c r="M10" s="468"/>
    </row>
    <row r="11" spans="1:13" ht="20.25" customHeight="1">
      <c r="A11" s="245" t="s">
        <v>0</v>
      </c>
      <c r="B11" s="589" t="s">
        <v>220</v>
      </c>
      <c r="C11" s="609">
        <f>D11+E11+F11+G11</f>
        <v>0</v>
      </c>
      <c r="D11" s="615">
        <v>0</v>
      </c>
      <c r="E11" s="615">
        <v>0</v>
      </c>
      <c r="F11" s="615">
        <v>0</v>
      </c>
      <c r="G11" s="615">
        <v>0</v>
      </c>
      <c r="H11" s="615">
        <v>0</v>
      </c>
      <c r="I11" s="615">
        <v>0</v>
      </c>
      <c r="J11" s="616">
        <v>0</v>
      </c>
      <c r="K11" s="616">
        <v>0</v>
      </c>
      <c r="L11" s="616">
        <v>0</v>
      </c>
      <c r="M11" s="468"/>
    </row>
    <row r="12" spans="1:13" ht="18" customHeight="1">
      <c r="A12" s="477" t="s">
        <v>1</v>
      </c>
      <c r="B12" s="590" t="s">
        <v>14</v>
      </c>
      <c r="C12" s="609">
        <f>C13+C14+C15+C16+C17+C18+C19+C20+C21+C22</f>
        <v>6</v>
      </c>
      <c r="D12" s="609">
        <f aca="true" t="shared" si="1" ref="D12:L12">D13+D14+D15+D16+D17+D18+D19+D20+D21+D22</f>
        <v>0</v>
      </c>
      <c r="E12" s="609">
        <f t="shared" si="1"/>
        <v>5</v>
      </c>
      <c r="F12" s="609">
        <f t="shared" si="1"/>
        <v>0</v>
      </c>
      <c r="G12" s="609">
        <f t="shared" si="1"/>
        <v>1</v>
      </c>
      <c r="H12" s="609">
        <f t="shared" si="1"/>
        <v>6</v>
      </c>
      <c r="I12" s="609">
        <f t="shared" si="1"/>
        <v>0</v>
      </c>
      <c r="J12" s="609">
        <f t="shared" si="1"/>
        <v>6</v>
      </c>
      <c r="K12" s="609">
        <f t="shared" si="1"/>
        <v>0</v>
      </c>
      <c r="L12" s="609">
        <f t="shared" si="1"/>
        <v>0</v>
      </c>
      <c r="M12" s="468"/>
    </row>
    <row r="13" spans="1:13" ht="18" customHeight="1">
      <c r="A13" s="69" t="s">
        <v>37</v>
      </c>
      <c r="B13" s="591" t="s">
        <v>330</v>
      </c>
      <c r="C13" s="609">
        <f>D13+E13+F13+G13</f>
        <v>0</v>
      </c>
      <c r="D13" s="610">
        <v>0</v>
      </c>
      <c r="E13" s="610">
        <v>0</v>
      </c>
      <c r="F13" s="610">
        <v>0</v>
      </c>
      <c r="G13" s="610">
        <v>0</v>
      </c>
      <c r="H13" s="610">
        <v>0</v>
      </c>
      <c r="I13" s="610">
        <v>0</v>
      </c>
      <c r="J13" s="617">
        <v>0</v>
      </c>
      <c r="K13" s="618">
        <v>0</v>
      </c>
      <c r="L13" s="619">
        <v>0</v>
      </c>
      <c r="M13" s="468"/>
    </row>
    <row r="14" spans="1:13" ht="18" customHeight="1">
      <c r="A14" s="69" t="s">
        <v>38</v>
      </c>
      <c r="B14" s="591" t="s">
        <v>331</v>
      </c>
      <c r="C14" s="609">
        <f aca="true" t="shared" si="2" ref="C14:C22">D14+E14+F14+G14</f>
        <v>2</v>
      </c>
      <c r="D14" s="610">
        <v>0</v>
      </c>
      <c r="E14" s="610">
        <v>1</v>
      </c>
      <c r="F14" s="610">
        <v>0</v>
      </c>
      <c r="G14" s="610">
        <v>1</v>
      </c>
      <c r="H14" s="610">
        <v>2</v>
      </c>
      <c r="I14" s="610">
        <v>0</v>
      </c>
      <c r="J14" s="617">
        <v>2</v>
      </c>
      <c r="K14" s="618">
        <v>0</v>
      </c>
      <c r="L14" s="619">
        <v>0</v>
      </c>
      <c r="M14" s="468"/>
    </row>
    <row r="15" spans="1:13" ht="18" customHeight="1">
      <c r="A15" s="69" t="s">
        <v>43</v>
      </c>
      <c r="B15" s="591" t="s">
        <v>332</v>
      </c>
      <c r="C15" s="609">
        <f t="shared" si="2"/>
        <v>0</v>
      </c>
      <c r="D15" s="610">
        <v>0</v>
      </c>
      <c r="E15" s="610">
        <v>0</v>
      </c>
      <c r="F15" s="610">
        <v>0</v>
      </c>
      <c r="G15" s="610">
        <v>0</v>
      </c>
      <c r="H15" s="610">
        <v>0</v>
      </c>
      <c r="I15" s="610">
        <v>0</v>
      </c>
      <c r="J15" s="617">
        <v>0</v>
      </c>
      <c r="K15" s="618">
        <v>0</v>
      </c>
      <c r="L15" s="619">
        <v>0</v>
      </c>
      <c r="M15" s="468"/>
    </row>
    <row r="16" spans="1:13" ht="17.25" customHeight="1">
      <c r="A16" s="69" t="s">
        <v>62</v>
      </c>
      <c r="B16" s="591" t="s">
        <v>333</v>
      </c>
      <c r="C16" s="609">
        <f t="shared" si="2"/>
        <v>1</v>
      </c>
      <c r="D16" s="610">
        <v>0</v>
      </c>
      <c r="E16" s="610">
        <v>1</v>
      </c>
      <c r="F16" s="610">
        <v>0</v>
      </c>
      <c r="G16" s="610">
        <v>0</v>
      </c>
      <c r="H16" s="610">
        <v>1</v>
      </c>
      <c r="I16" s="610">
        <v>0</v>
      </c>
      <c r="J16" s="617">
        <v>1</v>
      </c>
      <c r="K16" s="618">
        <v>0</v>
      </c>
      <c r="L16" s="619">
        <v>0</v>
      </c>
      <c r="M16" s="468"/>
    </row>
    <row r="17" spans="1:13" ht="17.25" customHeight="1">
      <c r="A17" s="69" t="s">
        <v>63</v>
      </c>
      <c r="B17" s="591" t="s">
        <v>334</v>
      </c>
      <c r="C17" s="609">
        <f t="shared" si="2"/>
        <v>1</v>
      </c>
      <c r="D17" s="610">
        <v>0</v>
      </c>
      <c r="E17" s="610">
        <v>1</v>
      </c>
      <c r="F17" s="610">
        <v>0</v>
      </c>
      <c r="G17" s="610">
        <v>0</v>
      </c>
      <c r="H17" s="610">
        <v>1</v>
      </c>
      <c r="I17" s="610">
        <v>0</v>
      </c>
      <c r="J17" s="617">
        <v>1</v>
      </c>
      <c r="K17" s="617">
        <v>0</v>
      </c>
      <c r="L17" s="619">
        <v>0</v>
      </c>
      <c r="M17" s="468"/>
    </row>
    <row r="18" spans="1:13" ht="17.25" customHeight="1">
      <c r="A18" s="69" t="s">
        <v>64</v>
      </c>
      <c r="B18" s="591" t="s">
        <v>335</v>
      </c>
      <c r="C18" s="609">
        <f t="shared" si="2"/>
        <v>0</v>
      </c>
      <c r="D18" s="610">
        <v>0</v>
      </c>
      <c r="E18" s="610">
        <v>0</v>
      </c>
      <c r="F18" s="610">
        <v>0</v>
      </c>
      <c r="G18" s="610">
        <v>0</v>
      </c>
      <c r="H18" s="610">
        <v>0</v>
      </c>
      <c r="I18" s="610">
        <v>0</v>
      </c>
      <c r="J18" s="617">
        <v>0</v>
      </c>
      <c r="K18" s="618">
        <v>0</v>
      </c>
      <c r="L18" s="619">
        <v>0</v>
      </c>
      <c r="M18" s="468"/>
    </row>
    <row r="19" spans="1:13" ht="18" customHeight="1">
      <c r="A19" s="69" t="s">
        <v>65</v>
      </c>
      <c r="B19" s="591" t="s">
        <v>336</v>
      </c>
      <c r="C19" s="609">
        <f t="shared" si="2"/>
        <v>0</v>
      </c>
      <c r="D19" s="610">
        <v>0</v>
      </c>
      <c r="E19" s="610">
        <v>0</v>
      </c>
      <c r="F19" s="610">
        <v>0</v>
      </c>
      <c r="G19" s="610">
        <v>0</v>
      </c>
      <c r="H19" s="610">
        <v>0</v>
      </c>
      <c r="I19" s="610">
        <v>0</v>
      </c>
      <c r="J19" s="618">
        <v>0</v>
      </c>
      <c r="K19" s="618">
        <v>0</v>
      </c>
      <c r="L19" s="619">
        <v>0</v>
      </c>
      <c r="M19" s="468"/>
    </row>
    <row r="20" spans="1:13" ht="18" customHeight="1">
      <c r="A20" s="69" t="s">
        <v>66</v>
      </c>
      <c r="B20" s="591" t="s">
        <v>337</v>
      </c>
      <c r="C20" s="609">
        <f t="shared" si="2"/>
        <v>1</v>
      </c>
      <c r="D20" s="610">
        <v>0</v>
      </c>
      <c r="E20" s="610">
        <v>1</v>
      </c>
      <c r="F20" s="610">
        <v>0</v>
      </c>
      <c r="G20" s="610">
        <v>0</v>
      </c>
      <c r="H20" s="610">
        <v>1</v>
      </c>
      <c r="I20" s="610">
        <v>0</v>
      </c>
      <c r="J20" s="618">
        <v>1</v>
      </c>
      <c r="K20" s="617">
        <v>0</v>
      </c>
      <c r="L20" s="619">
        <v>0</v>
      </c>
      <c r="M20" s="468"/>
    </row>
    <row r="21" spans="1:13" ht="18.75" customHeight="1">
      <c r="A21" s="69" t="s">
        <v>67</v>
      </c>
      <c r="B21" s="591" t="s">
        <v>338</v>
      </c>
      <c r="C21" s="609">
        <f t="shared" si="2"/>
        <v>0</v>
      </c>
      <c r="D21" s="610">
        <v>0</v>
      </c>
      <c r="E21" s="610">
        <v>0</v>
      </c>
      <c r="F21" s="610">
        <v>0</v>
      </c>
      <c r="G21" s="610">
        <v>0</v>
      </c>
      <c r="H21" s="610">
        <v>0</v>
      </c>
      <c r="I21" s="610">
        <v>0</v>
      </c>
      <c r="J21" s="619">
        <v>0</v>
      </c>
      <c r="K21" s="619">
        <v>0</v>
      </c>
      <c r="L21" s="619">
        <v>0</v>
      </c>
      <c r="M21" s="468"/>
    </row>
    <row r="22" spans="1:13" ht="21" customHeight="1" thickBot="1">
      <c r="A22" s="243" t="s">
        <v>85</v>
      </c>
      <c r="B22" s="592" t="s">
        <v>339</v>
      </c>
      <c r="C22" s="612">
        <f t="shared" si="2"/>
        <v>1</v>
      </c>
      <c r="D22" s="613">
        <v>0</v>
      </c>
      <c r="E22" s="613">
        <v>1</v>
      </c>
      <c r="F22" s="613">
        <v>0</v>
      </c>
      <c r="G22" s="613">
        <v>0</v>
      </c>
      <c r="H22" s="613">
        <v>1</v>
      </c>
      <c r="I22" s="613">
        <v>0</v>
      </c>
      <c r="J22" s="614">
        <v>1</v>
      </c>
      <c r="K22" s="620">
        <v>0</v>
      </c>
      <c r="L22" s="620">
        <v>0</v>
      </c>
      <c r="M22" s="468"/>
    </row>
    <row r="23" spans="1:13" ht="16.5" thickTop="1">
      <c r="A23" s="471"/>
      <c r="B23" s="471"/>
      <c r="C23" s="472"/>
      <c r="D23" s="472"/>
      <c r="E23" s="472"/>
      <c r="F23" s="472"/>
      <c r="G23" s="472"/>
      <c r="H23" s="472"/>
      <c r="I23" s="472"/>
      <c r="J23" s="472"/>
      <c r="K23" s="472"/>
      <c r="L23" s="472"/>
      <c r="M23" s="468"/>
    </row>
    <row r="24" spans="1:13" ht="16.5">
      <c r="A24" s="475"/>
      <c r="B24" s="946" t="str">
        <f>'Thông tin'!B7</f>
        <v>Bình Thuận, ngày 06 tháng 4 năm 2016</v>
      </c>
      <c r="C24" s="946"/>
      <c r="D24" s="946"/>
      <c r="E24" s="554"/>
      <c r="F24" s="555"/>
      <c r="G24" s="555"/>
      <c r="H24" s="951" t="str">
        <f>'Thông tin'!B7</f>
        <v>Bình Thuận, ngày 06 tháng 4 năm 2016</v>
      </c>
      <c r="I24" s="951"/>
      <c r="J24" s="951"/>
      <c r="K24" s="951"/>
      <c r="L24" s="951"/>
      <c r="M24" s="468"/>
    </row>
    <row r="25" spans="1:13" ht="16.5">
      <c r="A25" s="475"/>
      <c r="B25" s="948" t="s">
        <v>479</v>
      </c>
      <c r="C25" s="948"/>
      <c r="D25" s="948"/>
      <c r="E25" s="556"/>
      <c r="F25" s="555"/>
      <c r="G25" s="555"/>
      <c r="H25" s="949" t="s">
        <v>355</v>
      </c>
      <c r="I25" s="949"/>
      <c r="J25" s="949"/>
      <c r="K25" s="949"/>
      <c r="L25" s="949"/>
      <c r="M25" s="468"/>
    </row>
    <row r="26" spans="1:13" ht="16.5">
      <c r="A26" s="476"/>
      <c r="B26" s="950"/>
      <c r="C26" s="950"/>
      <c r="D26" s="554"/>
      <c r="E26" s="554"/>
      <c r="F26" s="555"/>
      <c r="G26" s="555"/>
      <c r="H26" s="949" t="s">
        <v>354</v>
      </c>
      <c r="I26" s="949"/>
      <c r="J26" s="949"/>
      <c r="K26" s="949"/>
      <c r="L26" s="949"/>
      <c r="M26" s="468"/>
    </row>
    <row r="27" spans="1:13" ht="16.5">
      <c r="A27" s="471"/>
      <c r="B27" s="557"/>
      <c r="C27" s="558"/>
      <c r="D27" s="558"/>
      <c r="E27" s="558"/>
      <c r="F27" s="555"/>
      <c r="G27" s="555"/>
      <c r="H27" s="555"/>
      <c r="I27" s="555"/>
      <c r="J27" s="555"/>
      <c r="K27" s="555"/>
      <c r="L27" s="555"/>
      <c r="M27" s="468"/>
    </row>
    <row r="28" spans="1:13" ht="15.75">
      <c r="A28" s="471"/>
      <c r="B28" s="557"/>
      <c r="C28" s="558"/>
      <c r="D28" s="558"/>
      <c r="E28" s="558"/>
      <c r="F28" s="558"/>
      <c r="G28" s="558"/>
      <c r="H28" s="558"/>
      <c r="I28" s="558"/>
      <c r="J28" s="558"/>
      <c r="K28" s="558"/>
      <c r="L28" s="558"/>
      <c r="M28" s="468"/>
    </row>
    <row r="29" spans="1:13" ht="15.75">
      <c r="A29" s="471"/>
      <c r="B29" s="557"/>
      <c r="C29" s="558"/>
      <c r="D29" s="558"/>
      <c r="E29" s="558"/>
      <c r="F29" s="558"/>
      <c r="G29" s="558"/>
      <c r="H29" s="558"/>
      <c r="I29" s="558"/>
      <c r="J29" s="558"/>
      <c r="K29" s="558"/>
      <c r="L29" s="558"/>
      <c r="M29" s="468"/>
    </row>
    <row r="30" spans="1:13" ht="15.75">
      <c r="A30" s="471"/>
      <c r="B30" s="557"/>
      <c r="C30" s="558"/>
      <c r="D30" s="558"/>
      <c r="E30" s="558"/>
      <c r="F30" s="558"/>
      <c r="G30" s="558"/>
      <c r="H30" s="558"/>
      <c r="I30" s="558"/>
      <c r="J30" s="558"/>
      <c r="K30" s="558"/>
      <c r="L30" s="558"/>
      <c r="M30" s="468"/>
    </row>
    <row r="31" spans="1:13" ht="16.5">
      <c r="A31" s="471"/>
      <c r="B31" s="947" t="str">
        <f>'Thông tin'!B4</f>
        <v>Trần Quốc Bảo</v>
      </c>
      <c r="C31" s="947"/>
      <c r="D31" s="947"/>
      <c r="E31" s="559"/>
      <c r="F31" s="559"/>
      <c r="G31" s="559"/>
      <c r="H31" s="947" t="str">
        <f>'Thông tin'!B5</f>
        <v>Trần Nam</v>
      </c>
      <c r="I31" s="947"/>
      <c r="J31" s="947"/>
      <c r="K31" s="947"/>
      <c r="L31" s="947"/>
      <c r="M31" s="468"/>
    </row>
    <row r="32" spans="1:13" ht="15.75">
      <c r="A32" s="468"/>
      <c r="B32" s="468"/>
      <c r="C32" s="468"/>
      <c r="D32" s="468"/>
      <c r="E32" s="468"/>
      <c r="F32" s="468"/>
      <c r="G32" s="468"/>
      <c r="H32" s="468"/>
      <c r="I32" s="468"/>
      <c r="J32" s="468"/>
      <c r="K32" s="468"/>
      <c r="L32" s="468"/>
      <c r="M32" s="468"/>
    </row>
    <row r="33" spans="1:13" ht="15.75">
      <c r="A33" s="468"/>
      <c r="B33" s="468"/>
      <c r="C33" s="468"/>
      <c r="D33" s="468"/>
      <c r="E33" s="468"/>
      <c r="F33" s="468"/>
      <c r="G33" s="468"/>
      <c r="H33" s="468"/>
      <c r="I33" s="468"/>
      <c r="J33" s="468"/>
      <c r="K33" s="468"/>
      <c r="L33" s="468"/>
      <c r="M33" s="468"/>
    </row>
  </sheetData>
  <mergeCells count="25">
    <mergeCell ref="B24:D24"/>
    <mergeCell ref="B31:D31"/>
    <mergeCell ref="H31:L31"/>
    <mergeCell ref="B25:D25"/>
    <mergeCell ref="H25:L25"/>
    <mergeCell ref="B26:C26"/>
    <mergeCell ref="H26:L26"/>
    <mergeCell ref="H24:L24"/>
    <mergeCell ref="D5:I5"/>
    <mergeCell ref="J5:L5"/>
    <mergeCell ref="A7:B8"/>
    <mergeCell ref="C7:C8"/>
    <mergeCell ref="D7:G7"/>
    <mergeCell ref="H7:I7"/>
    <mergeCell ref="J7:L7"/>
    <mergeCell ref="A9:B9"/>
    <mergeCell ref="A10:B10"/>
    <mergeCell ref="J1:L1"/>
    <mergeCell ref="D1:I3"/>
    <mergeCell ref="A2:C3"/>
    <mergeCell ref="D4:I4"/>
    <mergeCell ref="J3:L3"/>
    <mergeCell ref="J4:L4"/>
    <mergeCell ref="J2:L2"/>
    <mergeCell ref="A1:C1"/>
  </mergeCells>
  <printOptions/>
  <pageMargins left="0" right="0" top="0.25" bottom="0.25"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7"/>
  </sheetPr>
  <dimension ref="A1:T31"/>
  <sheetViews>
    <sheetView workbookViewId="0" topLeftCell="A7">
      <selection activeCell="A12" sqref="A12:T24"/>
    </sheetView>
  </sheetViews>
  <sheetFormatPr defaultColWidth="9.00390625" defaultRowHeight="15.75"/>
  <cols>
    <col min="1" max="1" width="3.625" style="0" customWidth="1"/>
    <col min="2" max="2" width="22.25390625" style="0" customWidth="1"/>
    <col min="3" max="3" width="6.75390625" style="0" customWidth="1"/>
    <col min="4" max="5" width="5.75390625" style="0" customWidth="1"/>
    <col min="6" max="6" width="6.25390625" style="0" customWidth="1"/>
    <col min="7" max="7" width="6.00390625" style="0" customWidth="1"/>
    <col min="8" max="8" width="6.875" style="0" customWidth="1"/>
    <col min="9" max="9" width="6.375" style="0" customWidth="1"/>
    <col min="10" max="10" width="5.625" style="0" customWidth="1"/>
    <col min="11" max="11" width="6.00390625" style="0" customWidth="1"/>
    <col min="12" max="12" width="6.25390625" style="0" customWidth="1"/>
    <col min="13" max="13" width="6.125" style="0" customWidth="1"/>
    <col min="14" max="14" width="5.75390625" style="0" customWidth="1"/>
    <col min="15" max="15" width="5.625" style="0" customWidth="1"/>
    <col min="16" max="16" width="6.00390625" style="0" customWidth="1"/>
    <col min="17" max="17" width="6.125" style="0" customWidth="1"/>
    <col min="18" max="19" width="5.625" style="0" customWidth="1"/>
    <col min="20" max="20" width="5.875" style="0" customWidth="1"/>
  </cols>
  <sheetData>
    <row r="1" spans="1:20" ht="16.5" customHeight="1">
      <c r="A1" s="855" t="s">
        <v>483</v>
      </c>
      <c r="B1" s="855"/>
      <c r="C1" s="855"/>
      <c r="D1" s="453"/>
      <c r="E1" s="864" t="s">
        <v>484</v>
      </c>
      <c r="F1" s="864"/>
      <c r="G1" s="864"/>
      <c r="H1" s="864"/>
      <c r="I1" s="864"/>
      <c r="J1" s="864"/>
      <c r="K1" s="864"/>
      <c r="L1" s="864"/>
      <c r="M1" s="864"/>
      <c r="N1" s="864"/>
      <c r="O1" s="560"/>
      <c r="P1" s="952" t="s">
        <v>358</v>
      </c>
      <c r="Q1" s="952"/>
      <c r="R1" s="952"/>
      <c r="S1" s="952"/>
      <c r="T1" s="952"/>
    </row>
    <row r="2" spans="1:20" ht="16.5" customHeight="1">
      <c r="A2" s="857" t="s">
        <v>481</v>
      </c>
      <c r="B2" s="857"/>
      <c r="C2" s="857"/>
      <c r="D2" s="857"/>
      <c r="E2" s="953" t="s">
        <v>485</v>
      </c>
      <c r="F2" s="953"/>
      <c r="G2" s="953"/>
      <c r="H2" s="953"/>
      <c r="I2" s="953"/>
      <c r="J2" s="953"/>
      <c r="K2" s="953"/>
      <c r="L2" s="953"/>
      <c r="M2" s="953"/>
      <c r="N2" s="953"/>
      <c r="O2" s="561"/>
      <c r="P2" s="954" t="str">
        <f>'Thông tin'!B3</f>
        <v>Cục THADS tỉnh Bình Thuận</v>
      </c>
      <c r="Q2" s="954"/>
      <c r="R2" s="954"/>
      <c r="S2" s="954"/>
      <c r="T2" s="954"/>
    </row>
    <row r="3" spans="1:20" ht="16.5">
      <c r="A3" s="857" t="s">
        <v>248</v>
      </c>
      <c r="B3" s="857"/>
      <c r="C3" s="857"/>
      <c r="D3" s="457"/>
      <c r="E3" s="864" t="str">
        <f>'Thông tin'!B2</f>
        <v>6 tháng / năm 2016</v>
      </c>
      <c r="F3" s="864"/>
      <c r="G3" s="864"/>
      <c r="H3" s="864"/>
      <c r="I3" s="864"/>
      <c r="J3" s="864"/>
      <c r="K3" s="864"/>
      <c r="L3" s="864"/>
      <c r="M3" s="864"/>
      <c r="N3" s="864"/>
      <c r="O3" s="561"/>
      <c r="P3" s="955" t="s">
        <v>359</v>
      </c>
      <c r="Q3" s="955"/>
      <c r="R3" s="955"/>
      <c r="S3" s="955"/>
      <c r="T3" s="955"/>
    </row>
    <row r="4" spans="1:20" ht="15.75">
      <c r="A4" s="862" t="s">
        <v>86</v>
      </c>
      <c r="B4" s="862"/>
      <c r="C4" s="862"/>
      <c r="D4" s="459"/>
      <c r="E4" s="956" t="s">
        <v>408</v>
      </c>
      <c r="F4" s="956"/>
      <c r="G4" s="956"/>
      <c r="H4" s="956"/>
      <c r="I4" s="956"/>
      <c r="J4" s="956"/>
      <c r="K4" s="956"/>
      <c r="L4" s="956"/>
      <c r="M4" s="956"/>
      <c r="N4" s="956"/>
      <c r="O4" s="956"/>
      <c r="P4" s="957" t="s">
        <v>350</v>
      </c>
      <c r="Q4" s="957"/>
      <c r="R4" s="957"/>
      <c r="S4" s="957"/>
      <c r="T4" s="957"/>
    </row>
    <row r="5" spans="1:20" ht="18" customHeight="1">
      <c r="A5" s="460"/>
      <c r="B5" s="460"/>
      <c r="C5" s="460"/>
      <c r="D5" s="460"/>
      <c r="E5" s="543"/>
      <c r="F5" s="543"/>
      <c r="G5" s="543"/>
      <c r="H5" s="543"/>
      <c r="I5" s="543"/>
      <c r="J5" s="543"/>
      <c r="K5" s="543"/>
      <c r="L5" s="543"/>
      <c r="M5" s="543"/>
      <c r="N5" s="543"/>
      <c r="O5" s="543"/>
      <c r="P5" s="961" t="s">
        <v>455</v>
      </c>
      <c r="Q5" s="961"/>
      <c r="R5" s="961"/>
      <c r="S5" s="961"/>
      <c r="T5" s="961"/>
    </row>
    <row r="6" spans="1:20" ht="18.75" customHeight="1">
      <c r="A6" s="928" t="s">
        <v>61</v>
      </c>
      <c r="B6" s="962"/>
      <c r="C6" s="965" t="s">
        <v>486</v>
      </c>
      <c r="D6" s="968" t="s">
        <v>487</v>
      </c>
      <c r="E6" s="969"/>
      <c r="F6" s="969"/>
      <c r="G6" s="969"/>
      <c r="H6" s="969"/>
      <c r="I6" s="969"/>
      <c r="J6" s="970"/>
      <c r="K6" s="971" t="s">
        <v>488</v>
      </c>
      <c r="L6" s="972"/>
      <c r="M6" s="972"/>
      <c r="N6" s="972"/>
      <c r="O6" s="972"/>
      <c r="P6" s="972"/>
      <c r="Q6" s="972"/>
      <c r="R6" s="972"/>
      <c r="S6" s="972"/>
      <c r="T6" s="973"/>
    </row>
    <row r="7" spans="1:20" ht="18.75" customHeight="1">
      <c r="A7" s="930"/>
      <c r="B7" s="963"/>
      <c r="C7" s="966"/>
      <c r="D7" s="969" t="s">
        <v>6</v>
      </c>
      <c r="E7" s="969"/>
      <c r="F7" s="969"/>
      <c r="G7" s="969"/>
      <c r="H7" s="969"/>
      <c r="I7" s="969"/>
      <c r="J7" s="970"/>
      <c r="K7" s="974"/>
      <c r="L7" s="975"/>
      <c r="M7" s="975"/>
      <c r="N7" s="975"/>
      <c r="O7" s="975"/>
      <c r="P7" s="975"/>
      <c r="Q7" s="975"/>
      <c r="R7" s="975"/>
      <c r="S7" s="975"/>
      <c r="T7" s="976"/>
    </row>
    <row r="8" spans="1:20" ht="29.25" customHeight="1">
      <c r="A8" s="930"/>
      <c r="B8" s="963"/>
      <c r="C8" s="966"/>
      <c r="D8" s="900" t="s">
        <v>489</v>
      </c>
      <c r="E8" s="959"/>
      <c r="F8" s="958" t="s">
        <v>490</v>
      </c>
      <c r="G8" s="959"/>
      <c r="H8" s="958" t="s">
        <v>491</v>
      </c>
      <c r="I8" s="959"/>
      <c r="J8" s="958" t="s">
        <v>492</v>
      </c>
      <c r="K8" s="977" t="s">
        <v>493</v>
      </c>
      <c r="L8" s="977"/>
      <c r="M8" s="977"/>
      <c r="N8" s="977" t="s">
        <v>494</v>
      </c>
      <c r="O8" s="977"/>
      <c r="P8" s="977"/>
      <c r="Q8" s="958" t="s">
        <v>495</v>
      </c>
      <c r="R8" s="960" t="s">
        <v>496</v>
      </c>
      <c r="S8" s="960" t="s">
        <v>497</v>
      </c>
      <c r="T8" s="958" t="s">
        <v>498</v>
      </c>
    </row>
    <row r="9" spans="1:20" ht="15.75">
      <c r="A9" s="930"/>
      <c r="B9" s="963"/>
      <c r="C9" s="966"/>
      <c r="D9" s="900" t="s">
        <v>499</v>
      </c>
      <c r="E9" s="958" t="s">
        <v>500</v>
      </c>
      <c r="F9" s="958" t="s">
        <v>499</v>
      </c>
      <c r="G9" s="958" t="s">
        <v>500</v>
      </c>
      <c r="H9" s="958" t="s">
        <v>499</v>
      </c>
      <c r="I9" s="958" t="s">
        <v>501</v>
      </c>
      <c r="J9" s="958"/>
      <c r="K9" s="977"/>
      <c r="L9" s="977"/>
      <c r="M9" s="977"/>
      <c r="N9" s="977"/>
      <c r="O9" s="977"/>
      <c r="P9" s="977"/>
      <c r="Q9" s="958"/>
      <c r="R9" s="960"/>
      <c r="S9" s="960"/>
      <c r="T9" s="958"/>
    </row>
    <row r="10" spans="1:20" ht="22.5" customHeight="1">
      <c r="A10" s="932"/>
      <c r="B10" s="964"/>
      <c r="C10" s="967"/>
      <c r="D10" s="900"/>
      <c r="E10" s="958"/>
      <c r="F10" s="958"/>
      <c r="G10" s="958"/>
      <c r="H10" s="958"/>
      <c r="I10" s="958"/>
      <c r="J10" s="958"/>
      <c r="K10" s="461" t="s">
        <v>502</v>
      </c>
      <c r="L10" s="461" t="s">
        <v>475</v>
      </c>
      <c r="M10" s="461" t="s">
        <v>503</v>
      </c>
      <c r="N10" s="461" t="s">
        <v>502</v>
      </c>
      <c r="O10" s="461" t="s">
        <v>504</v>
      </c>
      <c r="P10" s="461" t="s">
        <v>505</v>
      </c>
      <c r="Q10" s="958"/>
      <c r="R10" s="960"/>
      <c r="S10" s="960"/>
      <c r="T10" s="958"/>
    </row>
    <row r="11" spans="1:20" ht="15.75">
      <c r="A11" s="978" t="s">
        <v>5</v>
      </c>
      <c r="B11" s="979"/>
      <c r="C11" s="462">
        <v>1</v>
      </c>
      <c r="D11" s="463">
        <v>2</v>
      </c>
      <c r="E11" s="463">
        <v>3</v>
      </c>
      <c r="F11" s="463">
        <v>4</v>
      </c>
      <c r="G11" s="463">
        <v>5</v>
      </c>
      <c r="H11" s="463">
        <v>6</v>
      </c>
      <c r="I11" s="463">
        <v>7</v>
      </c>
      <c r="J11" s="463">
        <v>8</v>
      </c>
      <c r="K11" s="463">
        <v>9</v>
      </c>
      <c r="L11" s="463">
        <v>10</v>
      </c>
      <c r="M11" s="463">
        <v>11</v>
      </c>
      <c r="N11" s="463">
        <v>12</v>
      </c>
      <c r="O11" s="463">
        <v>13</v>
      </c>
      <c r="P11" s="463">
        <v>14</v>
      </c>
      <c r="Q11" s="463">
        <v>15</v>
      </c>
      <c r="R11" s="463">
        <v>16</v>
      </c>
      <c r="S11" s="463">
        <v>17</v>
      </c>
      <c r="T11" s="463">
        <v>18</v>
      </c>
    </row>
    <row r="12" spans="1:20" ht="21" customHeight="1">
      <c r="A12" s="980" t="s">
        <v>506</v>
      </c>
      <c r="B12" s="981"/>
      <c r="C12" s="464">
        <f>C13+C14</f>
        <v>131</v>
      </c>
      <c r="D12" s="251">
        <f aca="true" t="shared" si="0" ref="D12:T12">D13+D14</f>
        <v>1</v>
      </c>
      <c r="E12" s="251">
        <f t="shared" si="0"/>
        <v>0</v>
      </c>
      <c r="F12" s="251">
        <f t="shared" si="0"/>
        <v>100</v>
      </c>
      <c r="G12" s="251">
        <f t="shared" si="0"/>
        <v>22</v>
      </c>
      <c r="H12" s="251">
        <f t="shared" si="0"/>
        <v>1</v>
      </c>
      <c r="I12" s="251">
        <f t="shared" si="0"/>
        <v>3</v>
      </c>
      <c r="J12" s="251">
        <f t="shared" si="0"/>
        <v>4</v>
      </c>
      <c r="K12" s="251">
        <f t="shared" si="0"/>
        <v>0</v>
      </c>
      <c r="L12" s="251">
        <f t="shared" si="0"/>
        <v>15</v>
      </c>
      <c r="M12" s="251">
        <f t="shared" si="0"/>
        <v>35</v>
      </c>
      <c r="N12" s="251">
        <f t="shared" si="0"/>
        <v>15</v>
      </c>
      <c r="O12" s="251">
        <f t="shared" si="0"/>
        <v>26</v>
      </c>
      <c r="P12" s="251">
        <f t="shared" si="0"/>
        <v>48</v>
      </c>
      <c r="Q12" s="251">
        <f t="shared" si="0"/>
        <v>59</v>
      </c>
      <c r="R12" s="251">
        <f t="shared" si="0"/>
        <v>4</v>
      </c>
      <c r="S12" s="251">
        <f t="shared" si="0"/>
        <v>25</v>
      </c>
      <c r="T12" s="251">
        <f t="shared" si="0"/>
        <v>43</v>
      </c>
    </row>
    <row r="13" spans="1:20" ht="19.5" customHeight="1">
      <c r="A13" s="607" t="s">
        <v>0</v>
      </c>
      <c r="B13" s="589" t="s">
        <v>477</v>
      </c>
      <c r="C13" s="621">
        <f>D13+E13+F13+G13+H13+I13+J13</f>
        <v>24</v>
      </c>
      <c r="D13" s="611">
        <v>1</v>
      </c>
      <c r="E13" s="611">
        <v>0</v>
      </c>
      <c r="F13" s="611">
        <v>17</v>
      </c>
      <c r="G13" s="611">
        <v>4</v>
      </c>
      <c r="H13" s="611">
        <v>0</v>
      </c>
      <c r="I13" s="622">
        <v>1</v>
      </c>
      <c r="J13" s="622">
        <v>1</v>
      </c>
      <c r="K13" s="622">
        <v>0</v>
      </c>
      <c r="L13" s="622">
        <v>8</v>
      </c>
      <c r="M13" s="611">
        <v>10</v>
      </c>
      <c r="N13" s="611">
        <v>8</v>
      </c>
      <c r="O13" s="611">
        <v>3</v>
      </c>
      <c r="P13" s="611">
        <v>11</v>
      </c>
      <c r="Q13" s="611">
        <v>13</v>
      </c>
      <c r="R13" s="611">
        <v>0</v>
      </c>
      <c r="S13" s="611">
        <v>3</v>
      </c>
      <c r="T13" s="611">
        <v>8</v>
      </c>
    </row>
    <row r="14" spans="1:20" ht="20.25" customHeight="1">
      <c r="A14" s="608" t="s">
        <v>1</v>
      </c>
      <c r="B14" s="590" t="s">
        <v>14</v>
      </c>
      <c r="C14" s="621">
        <f>C15+C16+C17+C18+C19+C20+C21+C22+C23+C24</f>
        <v>107</v>
      </c>
      <c r="D14" s="609">
        <f aca="true" t="shared" si="1" ref="D14:T14">D15+D16+D17+D18+D19+D20+D21+D22+D23+D24</f>
        <v>0</v>
      </c>
      <c r="E14" s="609">
        <f t="shared" si="1"/>
        <v>0</v>
      </c>
      <c r="F14" s="609">
        <f t="shared" si="1"/>
        <v>83</v>
      </c>
      <c r="G14" s="609">
        <f t="shared" si="1"/>
        <v>18</v>
      </c>
      <c r="H14" s="609">
        <f t="shared" si="1"/>
        <v>1</v>
      </c>
      <c r="I14" s="609">
        <f t="shared" si="1"/>
        <v>2</v>
      </c>
      <c r="J14" s="609">
        <f t="shared" si="1"/>
        <v>3</v>
      </c>
      <c r="K14" s="609">
        <f t="shared" si="1"/>
        <v>0</v>
      </c>
      <c r="L14" s="609">
        <f t="shared" si="1"/>
        <v>7</v>
      </c>
      <c r="M14" s="609">
        <f t="shared" si="1"/>
        <v>25</v>
      </c>
      <c r="N14" s="609">
        <f t="shared" si="1"/>
        <v>7</v>
      </c>
      <c r="O14" s="609">
        <f t="shared" si="1"/>
        <v>23</v>
      </c>
      <c r="P14" s="609">
        <f t="shared" si="1"/>
        <v>37</v>
      </c>
      <c r="Q14" s="609">
        <f t="shared" si="1"/>
        <v>46</v>
      </c>
      <c r="R14" s="609">
        <f t="shared" si="1"/>
        <v>4</v>
      </c>
      <c r="S14" s="609">
        <f t="shared" si="1"/>
        <v>22</v>
      </c>
      <c r="T14" s="609">
        <f t="shared" si="1"/>
        <v>35</v>
      </c>
    </row>
    <row r="15" spans="1:20" ht="18" customHeight="1">
      <c r="A15" s="623" t="s">
        <v>37</v>
      </c>
      <c r="B15" s="591" t="s">
        <v>330</v>
      </c>
      <c r="C15" s="621">
        <f>D15+E15+F15+G15+H15+I15+J15</f>
        <v>17</v>
      </c>
      <c r="D15" s="611">
        <v>0</v>
      </c>
      <c r="E15" s="611">
        <v>0</v>
      </c>
      <c r="F15" s="611">
        <v>15</v>
      </c>
      <c r="G15" s="611">
        <v>2</v>
      </c>
      <c r="H15" s="611">
        <v>0</v>
      </c>
      <c r="I15" s="622">
        <v>0</v>
      </c>
      <c r="J15" s="622">
        <v>0</v>
      </c>
      <c r="K15" s="622">
        <v>0</v>
      </c>
      <c r="L15" s="622">
        <v>1</v>
      </c>
      <c r="M15" s="611">
        <v>4</v>
      </c>
      <c r="N15" s="611">
        <v>1</v>
      </c>
      <c r="O15" s="611">
        <v>2</v>
      </c>
      <c r="P15" s="611">
        <v>3</v>
      </c>
      <c r="Q15" s="611">
        <v>10</v>
      </c>
      <c r="R15" s="611">
        <v>2</v>
      </c>
      <c r="S15" s="611">
        <v>3</v>
      </c>
      <c r="T15" s="611">
        <v>2</v>
      </c>
    </row>
    <row r="16" spans="1:20" ht="18" customHeight="1">
      <c r="A16" s="623" t="s">
        <v>38</v>
      </c>
      <c r="B16" s="591" t="s">
        <v>331</v>
      </c>
      <c r="C16" s="621">
        <f aca="true" t="shared" si="2" ref="C16:C24">D16+E16+F16+G16+H16+I16+J16</f>
        <v>12</v>
      </c>
      <c r="D16" s="611">
        <v>0</v>
      </c>
      <c r="E16" s="611">
        <v>0</v>
      </c>
      <c r="F16" s="611">
        <v>9</v>
      </c>
      <c r="G16" s="611">
        <v>2</v>
      </c>
      <c r="H16" s="611">
        <v>0</v>
      </c>
      <c r="I16" s="622">
        <v>1</v>
      </c>
      <c r="J16" s="622">
        <v>0</v>
      </c>
      <c r="K16" s="622">
        <v>0</v>
      </c>
      <c r="L16" s="622">
        <v>3</v>
      </c>
      <c r="M16" s="611">
        <v>0</v>
      </c>
      <c r="N16" s="611">
        <v>1</v>
      </c>
      <c r="O16" s="611">
        <v>1</v>
      </c>
      <c r="P16" s="611">
        <v>7</v>
      </c>
      <c r="Q16" s="611">
        <v>5</v>
      </c>
      <c r="R16" s="611">
        <v>0</v>
      </c>
      <c r="S16" s="611">
        <v>3</v>
      </c>
      <c r="T16" s="611">
        <v>4</v>
      </c>
    </row>
    <row r="17" spans="1:20" ht="18" customHeight="1">
      <c r="A17" s="623" t="s">
        <v>43</v>
      </c>
      <c r="B17" s="591" t="s">
        <v>332</v>
      </c>
      <c r="C17" s="621">
        <f t="shared" si="2"/>
        <v>13</v>
      </c>
      <c r="D17" s="611">
        <v>0</v>
      </c>
      <c r="E17" s="611">
        <v>0</v>
      </c>
      <c r="F17" s="611">
        <v>10</v>
      </c>
      <c r="G17" s="611">
        <v>3</v>
      </c>
      <c r="H17" s="611">
        <v>0</v>
      </c>
      <c r="I17" s="622">
        <v>0</v>
      </c>
      <c r="J17" s="622">
        <v>0</v>
      </c>
      <c r="K17" s="622">
        <v>0</v>
      </c>
      <c r="L17" s="622">
        <v>0</v>
      </c>
      <c r="M17" s="611">
        <v>2</v>
      </c>
      <c r="N17" s="611">
        <v>1</v>
      </c>
      <c r="O17" s="611">
        <v>4</v>
      </c>
      <c r="P17" s="611">
        <v>3</v>
      </c>
      <c r="Q17" s="611">
        <v>5</v>
      </c>
      <c r="R17" s="611">
        <v>0</v>
      </c>
      <c r="S17" s="611">
        <v>1</v>
      </c>
      <c r="T17" s="611">
        <v>7</v>
      </c>
    </row>
    <row r="18" spans="1:20" ht="18.75" customHeight="1">
      <c r="A18" s="623" t="s">
        <v>62</v>
      </c>
      <c r="B18" s="591" t="s">
        <v>333</v>
      </c>
      <c r="C18" s="621">
        <f t="shared" si="2"/>
        <v>11</v>
      </c>
      <c r="D18" s="611">
        <v>0</v>
      </c>
      <c r="E18" s="611">
        <v>0</v>
      </c>
      <c r="F18" s="611">
        <v>7</v>
      </c>
      <c r="G18" s="611">
        <v>3</v>
      </c>
      <c r="H18" s="611">
        <v>0</v>
      </c>
      <c r="I18" s="622">
        <v>0</v>
      </c>
      <c r="J18" s="622">
        <v>1</v>
      </c>
      <c r="K18" s="622">
        <v>0</v>
      </c>
      <c r="L18" s="622">
        <v>0</v>
      </c>
      <c r="M18" s="611">
        <v>4</v>
      </c>
      <c r="N18" s="611">
        <v>1</v>
      </c>
      <c r="O18" s="611">
        <v>2</v>
      </c>
      <c r="P18" s="611">
        <v>3</v>
      </c>
      <c r="Q18" s="611">
        <v>6</v>
      </c>
      <c r="R18" s="611">
        <v>0</v>
      </c>
      <c r="S18" s="611">
        <v>1</v>
      </c>
      <c r="T18" s="611">
        <v>4</v>
      </c>
    </row>
    <row r="19" spans="1:20" ht="19.5" customHeight="1">
      <c r="A19" s="623" t="s">
        <v>63</v>
      </c>
      <c r="B19" s="591" t="s">
        <v>334</v>
      </c>
      <c r="C19" s="621">
        <f t="shared" si="2"/>
        <v>11</v>
      </c>
      <c r="D19" s="611">
        <v>0</v>
      </c>
      <c r="E19" s="611">
        <v>0</v>
      </c>
      <c r="F19" s="611">
        <v>8</v>
      </c>
      <c r="G19" s="611">
        <v>2</v>
      </c>
      <c r="H19" s="611">
        <v>0</v>
      </c>
      <c r="I19" s="622">
        <v>0</v>
      </c>
      <c r="J19" s="622">
        <v>1</v>
      </c>
      <c r="K19" s="622">
        <v>0</v>
      </c>
      <c r="L19" s="622">
        <v>0</v>
      </c>
      <c r="M19" s="611">
        <v>2</v>
      </c>
      <c r="N19" s="611">
        <v>0</v>
      </c>
      <c r="O19" s="611">
        <v>4</v>
      </c>
      <c r="P19" s="611">
        <v>2</v>
      </c>
      <c r="Q19" s="611">
        <v>4</v>
      </c>
      <c r="R19" s="611">
        <v>1</v>
      </c>
      <c r="S19" s="611">
        <v>1</v>
      </c>
      <c r="T19" s="611">
        <v>5</v>
      </c>
    </row>
    <row r="20" spans="1:20" ht="18.75" customHeight="1">
      <c r="A20" s="623" t="s">
        <v>64</v>
      </c>
      <c r="B20" s="591" t="s">
        <v>335</v>
      </c>
      <c r="C20" s="621">
        <f t="shared" si="2"/>
        <v>8</v>
      </c>
      <c r="D20" s="611">
        <v>0</v>
      </c>
      <c r="E20" s="611">
        <v>0</v>
      </c>
      <c r="F20" s="611">
        <v>5</v>
      </c>
      <c r="G20" s="611">
        <v>1</v>
      </c>
      <c r="H20" s="611">
        <v>1</v>
      </c>
      <c r="I20" s="622">
        <v>1</v>
      </c>
      <c r="J20" s="622">
        <v>0</v>
      </c>
      <c r="K20" s="622">
        <v>0</v>
      </c>
      <c r="L20" s="622">
        <v>0</v>
      </c>
      <c r="M20" s="611">
        <v>1</v>
      </c>
      <c r="N20" s="611">
        <v>0</v>
      </c>
      <c r="O20" s="611">
        <v>1</v>
      </c>
      <c r="P20" s="611">
        <v>0</v>
      </c>
      <c r="Q20" s="611">
        <v>2</v>
      </c>
      <c r="R20" s="611">
        <v>1</v>
      </c>
      <c r="S20" s="611">
        <v>3</v>
      </c>
      <c r="T20" s="611">
        <v>2</v>
      </c>
    </row>
    <row r="21" spans="1:20" ht="18" customHeight="1">
      <c r="A21" s="623" t="s">
        <v>65</v>
      </c>
      <c r="B21" s="591" t="s">
        <v>336</v>
      </c>
      <c r="C21" s="621">
        <f t="shared" si="2"/>
        <v>12</v>
      </c>
      <c r="D21" s="611">
        <v>0</v>
      </c>
      <c r="E21" s="611">
        <v>0</v>
      </c>
      <c r="F21" s="611">
        <v>10</v>
      </c>
      <c r="G21" s="611">
        <v>2</v>
      </c>
      <c r="H21" s="611">
        <v>0</v>
      </c>
      <c r="I21" s="622">
        <v>0</v>
      </c>
      <c r="J21" s="622">
        <v>0</v>
      </c>
      <c r="K21" s="622">
        <v>0</v>
      </c>
      <c r="L21" s="622">
        <v>2</v>
      </c>
      <c r="M21" s="611">
        <v>4</v>
      </c>
      <c r="N21" s="611">
        <v>1</v>
      </c>
      <c r="O21" s="611">
        <v>1</v>
      </c>
      <c r="P21" s="611">
        <v>8</v>
      </c>
      <c r="Q21" s="611">
        <v>5</v>
      </c>
      <c r="R21" s="611">
        <v>0</v>
      </c>
      <c r="S21" s="611">
        <v>5</v>
      </c>
      <c r="T21" s="611">
        <v>2</v>
      </c>
    </row>
    <row r="22" spans="1:20" ht="18" customHeight="1">
      <c r="A22" s="623" t="s">
        <v>66</v>
      </c>
      <c r="B22" s="591" t="s">
        <v>337</v>
      </c>
      <c r="C22" s="621">
        <f t="shared" si="2"/>
        <v>9</v>
      </c>
      <c r="D22" s="611">
        <v>0</v>
      </c>
      <c r="E22" s="611">
        <v>0</v>
      </c>
      <c r="F22" s="611">
        <v>8</v>
      </c>
      <c r="G22" s="611">
        <v>1</v>
      </c>
      <c r="H22" s="611">
        <v>0</v>
      </c>
      <c r="I22" s="622">
        <v>0</v>
      </c>
      <c r="J22" s="622">
        <v>0</v>
      </c>
      <c r="K22" s="622">
        <v>0</v>
      </c>
      <c r="L22" s="622">
        <v>0</v>
      </c>
      <c r="M22" s="611">
        <v>2</v>
      </c>
      <c r="N22" s="611">
        <v>1</v>
      </c>
      <c r="O22" s="611">
        <v>3</v>
      </c>
      <c r="P22" s="611">
        <v>2</v>
      </c>
      <c r="Q22" s="611">
        <v>4</v>
      </c>
      <c r="R22" s="611">
        <v>0</v>
      </c>
      <c r="S22" s="611">
        <v>1</v>
      </c>
      <c r="T22" s="611">
        <v>4</v>
      </c>
    </row>
    <row r="23" spans="1:20" ht="19.5" customHeight="1">
      <c r="A23" s="623" t="s">
        <v>67</v>
      </c>
      <c r="B23" s="591" t="s">
        <v>338</v>
      </c>
      <c r="C23" s="621">
        <f t="shared" si="2"/>
        <v>9</v>
      </c>
      <c r="D23" s="611">
        <v>0</v>
      </c>
      <c r="E23" s="611">
        <v>0</v>
      </c>
      <c r="F23" s="611">
        <v>7</v>
      </c>
      <c r="G23" s="611">
        <v>2</v>
      </c>
      <c r="H23" s="611">
        <v>0</v>
      </c>
      <c r="I23" s="622">
        <v>0</v>
      </c>
      <c r="J23" s="622">
        <v>0</v>
      </c>
      <c r="K23" s="622">
        <v>0</v>
      </c>
      <c r="L23" s="622">
        <v>0</v>
      </c>
      <c r="M23" s="611">
        <v>4</v>
      </c>
      <c r="N23" s="611">
        <v>0</v>
      </c>
      <c r="O23" s="611">
        <v>3</v>
      </c>
      <c r="P23" s="611">
        <v>5</v>
      </c>
      <c r="Q23" s="611">
        <v>3</v>
      </c>
      <c r="R23" s="611">
        <v>0</v>
      </c>
      <c r="S23" s="611">
        <v>3</v>
      </c>
      <c r="T23" s="611">
        <v>3</v>
      </c>
    </row>
    <row r="24" spans="1:20" ht="21" customHeight="1" thickBot="1">
      <c r="A24" s="624" t="s">
        <v>85</v>
      </c>
      <c r="B24" s="592" t="s">
        <v>339</v>
      </c>
      <c r="C24" s="625">
        <f t="shared" si="2"/>
        <v>5</v>
      </c>
      <c r="D24" s="614">
        <v>0</v>
      </c>
      <c r="E24" s="614">
        <v>0</v>
      </c>
      <c r="F24" s="614">
        <v>4</v>
      </c>
      <c r="G24" s="614">
        <v>0</v>
      </c>
      <c r="H24" s="614">
        <v>0</v>
      </c>
      <c r="I24" s="626">
        <v>0</v>
      </c>
      <c r="J24" s="626">
        <v>1</v>
      </c>
      <c r="K24" s="626">
        <v>0</v>
      </c>
      <c r="L24" s="626">
        <v>1</v>
      </c>
      <c r="M24" s="614">
        <v>2</v>
      </c>
      <c r="N24" s="614">
        <v>1</v>
      </c>
      <c r="O24" s="614">
        <v>2</v>
      </c>
      <c r="P24" s="614">
        <v>4</v>
      </c>
      <c r="Q24" s="614">
        <v>2</v>
      </c>
      <c r="R24" s="614">
        <v>0</v>
      </c>
      <c r="S24" s="614">
        <v>1</v>
      </c>
      <c r="T24" s="614">
        <v>2</v>
      </c>
    </row>
    <row r="25" spans="1:20" ht="16.5" thickTop="1">
      <c r="A25" s="465"/>
      <c r="B25" s="982" t="str">
        <f>'Thông tin'!B7</f>
        <v>Bình Thuận, ngày 06 tháng 4 năm 2016</v>
      </c>
      <c r="C25" s="982"/>
      <c r="D25" s="982"/>
      <c r="E25" s="982"/>
      <c r="F25" s="561"/>
      <c r="G25" s="561"/>
      <c r="H25" s="561"/>
      <c r="I25" s="561"/>
      <c r="J25" s="561"/>
      <c r="K25" s="561"/>
      <c r="L25" s="562"/>
      <c r="M25" s="562"/>
      <c r="N25" s="983" t="str">
        <f>'Thông tin'!B7</f>
        <v>Bình Thuận, ngày 06 tháng 4 năm 2016</v>
      </c>
      <c r="O25" s="983"/>
      <c r="P25" s="983"/>
      <c r="Q25" s="983"/>
      <c r="R25" s="983"/>
      <c r="S25" s="983"/>
      <c r="T25" s="983"/>
    </row>
    <row r="26" spans="1:20" ht="16.5">
      <c r="A26" s="465"/>
      <c r="B26" s="984" t="s">
        <v>479</v>
      </c>
      <c r="C26" s="984"/>
      <c r="D26" s="984"/>
      <c r="E26" s="984"/>
      <c r="F26" s="563"/>
      <c r="G26" s="563"/>
      <c r="H26" s="563"/>
      <c r="I26" s="563"/>
      <c r="J26" s="563"/>
      <c r="K26" s="563"/>
      <c r="L26" s="562"/>
      <c r="M26" s="562"/>
      <c r="N26" s="872" t="s">
        <v>355</v>
      </c>
      <c r="O26" s="872"/>
      <c r="P26" s="872"/>
      <c r="Q26" s="872"/>
      <c r="R26" s="872"/>
      <c r="S26" s="872"/>
      <c r="T26" s="872"/>
    </row>
    <row r="27" spans="1:20" ht="16.5">
      <c r="A27" s="466"/>
      <c r="B27" s="564"/>
      <c r="C27" s="564"/>
      <c r="D27" s="564"/>
      <c r="E27" s="564"/>
      <c r="F27" s="564"/>
      <c r="G27" s="564"/>
      <c r="H27" s="564"/>
      <c r="I27" s="564"/>
      <c r="J27" s="564"/>
      <c r="K27" s="564"/>
      <c r="L27" s="564"/>
      <c r="M27" s="564"/>
      <c r="N27" s="985" t="s">
        <v>354</v>
      </c>
      <c r="O27" s="985"/>
      <c r="P27" s="985"/>
      <c r="Q27" s="985"/>
      <c r="R27" s="985"/>
      <c r="S27" s="985"/>
      <c r="T27" s="985"/>
    </row>
    <row r="28" spans="1:20" ht="15.75">
      <c r="A28" s="466"/>
      <c r="B28" s="564"/>
      <c r="C28" s="564"/>
      <c r="D28" s="564"/>
      <c r="E28" s="564"/>
      <c r="F28" s="564"/>
      <c r="G28" s="564"/>
      <c r="H28" s="564"/>
      <c r="I28" s="564"/>
      <c r="J28" s="564"/>
      <c r="K28" s="564"/>
      <c r="L28" s="564"/>
      <c r="M28" s="564"/>
      <c r="N28" s="564"/>
      <c r="O28" s="564"/>
      <c r="P28" s="564"/>
      <c r="Q28" s="564"/>
      <c r="R28" s="564"/>
      <c r="S28" s="564"/>
      <c r="T28" s="564"/>
    </row>
    <row r="29" spans="1:20" ht="15.75">
      <c r="A29" s="466"/>
      <c r="B29" s="564"/>
      <c r="C29" s="564"/>
      <c r="D29" s="564"/>
      <c r="E29" s="564"/>
      <c r="F29" s="564"/>
      <c r="G29" s="564"/>
      <c r="H29" s="564"/>
      <c r="I29" s="564"/>
      <c r="J29" s="564"/>
      <c r="K29" s="564"/>
      <c r="L29" s="564"/>
      <c r="M29" s="564"/>
      <c r="N29" s="564"/>
      <c r="O29" s="564"/>
      <c r="P29" s="564"/>
      <c r="Q29" s="564"/>
      <c r="R29" s="564"/>
      <c r="S29" s="564"/>
      <c r="T29" s="564"/>
    </row>
    <row r="30" spans="1:20" ht="15.75">
      <c r="A30" s="466"/>
      <c r="B30" s="564"/>
      <c r="C30" s="564"/>
      <c r="D30" s="564"/>
      <c r="E30" s="564"/>
      <c r="F30" s="564"/>
      <c r="G30" s="564"/>
      <c r="H30" s="564"/>
      <c r="I30" s="564"/>
      <c r="J30" s="564"/>
      <c r="K30" s="564"/>
      <c r="L30" s="564"/>
      <c r="M30" s="564"/>
      <c r="N30" s="564"/>
      <c r="O30" s="564"/>
      <c r="P30" s="564"/>
      <c r="Q30" s="564"/>
      <c r="R30" s="564"/>
      <c r="S30" s="564"/>
      <c r="T30" s="564"/>
    </row>
    <row r="31" spans="1:20" ht="16.5">
      <c r="A31" s="466"/>
      <c r="B31" s="985" t="str">
        <f>'Thông tin'!B4</f>
        <v>Trần Quốc Bảo</v>
      </c>
      <c r="C31" s="985"/>
      <c r="D31" s="985"/>
      <c r="E31" s="985"/>
      <c r="F31" s="564"/>
      <c r="G31" s="564"/>
      <c r="H31" s="564"/>
      <c r="I31" s="564"/>
      <c r="J31" s="564"/>
      <c r="K31" s="564"/>
      <c r="L31" s="564"/>
      <c r="M31" s="564"/>
      <c r="N31" s="985" t="str">
        <f>'Thông tin'!B5</f>
        <v>Trần Nam</v>
      </c>
      <c r="O31" s="985"/>
      <c r="P31" s="985"/>
      <c r="Q31" s="985"/>
      <c r="R31" s="985"/>
      <c r="S31" s="985"/>
      <c r="T31" s="985"/>
    </row>
  </sheetData>
  <mergeCells count="43">
    <mergeCell ref="B26:E26"/>
    <mergeCell ref="N26:T26"/>
    <mergeCell ref="N27:T27"/>
    <mergeCell ref="B31:E31"/>
    <mergeCell ref="N31:T31"/>
    <mergeCell ref="A11:B11"/>
    <mergeCell ref="A12:B12"/>
    <mergeCell ref="B25:E25"/>
    <mergeCell ref="N25:T25"/>
    <mergeCell ref="S8:S10"/>
    <mergeCell ref="T8:T10"/>
    <mergeCell ref="D9:D10"/>
    <mergeCell ref="E9:E10"/>
    <mergeCell ref="F9:F10"/>
    <mergeCell ref="G9:G10"/>
    <mergeCell ref="H9:H10"/>
    <mergeCell ref="I9:I10"/>
    <mergeCell ref="K8:M9"/>
    <mergeCell ref="N8:P9"/>
    <mergeCell ref="Q8:Q10"/>
    <mergeCell ref="R8:R10"/>
    <mergeCell ref="P5:T5"/>
    <mergeCell ref="A6:B10"/>
    <mergeCell ref="C6:C10"/>
    <mergeCell ref="D6:J6"/>
    <mergeCell ref="K6:T7"/>
    <mergeCell ref="D7:J7"/>
    <mergeCell ref="D8:E8"/>
    <mergeCell ref="F8:G8"/>
    <mergeCell ref="H8:I8"/>
    <mergeCell ref="J8:J10"/>
    <mergeCell ref="A3:C3"/>
    <mergeCell ref="E3:N3"/>
    <mergeCell ref="P3:T3"/>
    <mergeCell ref="A4:C4"/>
    <mergeCell ref="E4:O4"/>
    <mergeCell ref="P4:T4"/>
    <mergeCell ref="A1:C1"/>
    <mergeCell ref="E1:N1"/>
    <mergeCell ref="P1:T1"/>
    <mergeCell ref="A2:D2"/>
    <mergeCell ref="E2:N2"/>
    <mergeCell ref="P2:T2"/>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53"/>
  </sheetPr>
  <dimension ref="A1:T31"/>
  <sheetViews>
    <sheetView tabSelected="1" workbookViewId="0" topLeftCell="A1">
      <selection activeCell="J19" sqref="J19"/>
    </sheetView>
  </sheetViews>
  <sheetFormatPr defaultColWidth="9.00390625" defaultRowHeight="15.75"/>
  <cols>
    <col min="1" max="1" width="3.375" style="0" customWidth="1"/>
    <col min="2" max="2" width="22.00390625" style="0" customWidth="1"/>
    <col min="3" max="3" width="7.00390625" style="0" customWidth="1"/>
    <col min="4" max="4" width="6.125" style="0" customWidth="1"/>
    <col min="5" max="5" width="5.875" style="0" customWidth="1"/>
    <col min="6" max="6" width="6.00390625" style="0" customWidth="1"/>
    <col min="7" max="7" width="5.875" style="0" customWidth="1"/>
    <col min="8" max="8" width="6.125" style="0" customWidth="1"/>
    <col min="9" max="9" width="5.875" style="0" customWidth="1"/>
    <col min="10" max="10" width="6.625" style="0" customWidth="1"/>
    <col min="11" max="11" width="7.375" style="0" customWidth="1"/>
    <col min="12" max="12" width="6.125" style="0" customWidth="1"/>
    <col min="13" max="13" width="5.125" style="0" customWidth="1"/>
    <col min="14" max="14" width="5.00390625" style="0" customWidth="1"/>
    <col min="15" max="15" width="4.875" style="0" customWidth="1"/>
    <col min="16" max="16" width="6.00390625" style="0" customWidth="1"/>
    <col min="17" max="17" width="5.875" style="0" customWidth="1"/>
    <col min="18" max="18" width="6.125" style="0" customWidth="1"/>
    <col min="19" max="19" width="5.75390625" style="0" customWidth="1"/>
    <col min="20" max="20" width="6.00390625" style="0" customWidth="1"/>
  </cols>
  <sheetData>
    <row r="1" spans="1:20" ht="15.75">
      <c r="A1" s="986" t="s">
        <v>453</v>
      </c>
      <c r="B1" s="986"/>
      <c r="C1" s="986"/>
      <c r="D1" s="987" t="s">
        <v>454</v>
      </c>
      <c r="E1" s="988"/>
      <c r="F1" s="988"/>
      <c r="G1" s="988"/>
      <c r="H1" s="988"/>
      <c r="I1" s="988"/>
      <c r="J1" s="988"/>
      <c r="K1" s="988"/>
      <c r="L1" s="988"/>
      <c r="M1" s="988"/>
      <c r="N1" s="988"/>
      <c r="O1" s="440"/>
      <c r="P1" s="440" t="s">
        <v>358</v>
      </c>
      <c r="Q1" s="440"/>
      <c r="R1" s="440"/>
      <c r="S1" s="440"/>
      <c r="T1" s="440"/>
    </row>
    <row r="2" spans="1:20" ht="15.75">
      <c r="A2" s="986" t="s">
        <v>481</v>
      </c>
      <c r="B2" s="986"/>
      <c r="C2" s="986"/>
      <c r="D2" s="988"/>
      <c r="E2" s="988"/>
      <c r="F2" s="988"/>
      <c r="G2" s="988"/>
      <c r="H2" s="988"/>
      <c r="I2" s="988"/>
      <c r="J2" s="988"/>
      <c r="K2" s="988"/>
      <c r="L2" s="988"/>
      <c r="M2" s="988"/>
      <c r="N2" s="988"/>
      <c r="O2" s="441"/>
      <c r="P2" s="442" t="s">
        <v>347</v>
      </c>
      <c r="Q2" s="441"/>
      <c r="R2" s="441"/>
      <c r="S2" s="441"/>
      <c r="T2" s="441"/>
    </row>
    <row r="3" spans="1:20" ht="16.5">
      <c r="A3" s="986" t="s">
        <v>482</v>
      </c>
      <c r="B3" s="986"/>
      <c r="C3" s="986"/>
      <c r="D3" s="988" t="s">
        <v>480</v>
      </c>
      <c r="E3" s="988"/>
      <c r="F3" s="988"/>
      <c r="G3" s="988"/>
      <c r="H3" s="988"/>
      <c r="I3" s="988"/>
      <c r="J3" s="988"/>
      <c r="K3" s="988"/>
      <c r="L3" s="988"/>
      <c r="M3" s="988"/>
      <c r="N3" s="988"/>
      <c r="O3" s="441"/>
      <c r="P3" s="441" t="s">
        <v>359</v>
      </c>
      <c r="Q3" s="441"/>
      <c r="R3" s="441"/>
      <c r="S3" s="441"/>
      <c r="T3" s="441"/>
    </row>
    <row r="4" spans="1:20" ht="15.75">
      <c r="A4" s="989" t="s">
        <v>198</v>
      </c>
      <c r="B4" s="989"/>
      <c r="C4" s="989"/>
      <c r="D4" s="990" t="s">
        <v>408</v>
      </c>
      <c r="E4" s="990"/>
      <c r="F4" s="990"/>
      <c r="G4" s="990"/>
      <c r="H4" s="990"/>
      <c r="I4" s="990"/>
      <c r="J4" s="990"/>
      <c r="K4" s="990"/>
      <c r="L4" s="990"/>
      <c r="M4" s="990"/>
      <c r="N4" s="990"/>
      <c r="O4" s="441"/>
      <c r="P4" s="442" t="s">
        <v>350</v>
      </c>
      <c r="Q4" s="441"/>
      <c r="R4" s="441"/>
      <c r="S4" s="441"/>
      <c r="T4" s="441"/>
    </row>
    <row r="5" spans="1:20" ht="15.75">
      <c r="A5" s="443"/>
      <c r="B5" s="443"/>
      <c r="C5" s="443"/>
      <c r="D5" s="443"/>
      <c r="E5" s="443"/>
      <c r="F5" s="443"/>
      <c r="G5" s="443"/>
      <c r="H5" s="443"/>
      <c r="I5" s="443"/>
      <c r="J5" s="443"/>
      <c r="K5" s="443"/>
      <c r="L5" s="444"/>
      <c r="M5" s="444"/>
      <c r="N5" s="444"/>
      <c r="O5" s="445"/>
      <c r="P5" s="446" t="s">
        <v>455</v>
      </c>
      <c r="Q5" s="445"/>
      <c r="R5" s="445"/>
      <c r="S5" s="445"/>
      <c r="T5" s="445"/>
    </row>
    <row r="6" spans="1:20" ht="15.75">
      <c r="A6" s="928" t="s">
        <v>61</v>
      </c>
      <c r="B6" s="929"/>
      <c r="C6" s="901" t="s">
        <v>456</v>
      </c>
      <c r="D6" s="991" t="s">
        <v>457</v>
      </c>
      <c r="E6" s="992"/>
      <c r="F6" s="992"/>
      <c r="G6" s="992"/>
      <c r="H6" s="992"/>
      <c r="I6" s="992"/>
      <c r="J6" s="992"/>
      <c r="K6" s="992"/>
      <c r="L6" s="992"/>
      <c r="M6" s="992"/>
      <c r="N6" s="992"/>
      <c r="O6" s="992"/>
      <c r="P6" s="992"/>
      <c r="Q6" s="992"/>
      <c r="R6" s="992"/>
      <c r="S6" s="992"/>
      <c r="T6" s="901" t="s">
        <v>458</v>
      </c>
    </row>
    <row r="7" spans="1:20" ht="15.75">
      <c r="A7" s="930"/>
      <c r="B7" s="931"/>
      <c r="C7" s="901"/>
      <c r="D7" s="896" t="s">
        <v>372</v>
      </c>
      <c r="E7" s="992" t="s">
        <v>6</v>
      </c>
      <c r="F7" s="992"/>
      <c r="G7" s="992"/>
      <c r="H7" s="992"/>
      <c r="I7" s="992"/>
      <c r="J7" s="992"/>
      <c r="K7" s="992"/>
      <c r="L7" s="992"/>
      <c r="M7" s="992"/>
      <c r="N7" s="992"/>
      <c r="O7" s="992"/>
      <c r="P7" s="992"/>
      <c r="Q7" s="992"/>
      <c r="R7" s="992"/>
      <c r="S7" s="992"/>
      <c r="T7" s="901"/>
    </row>
    <row r="8" spans="1:20" ht="21.75" customHeight="1">
      <c r="A8" s="930"/>
      <c r="B8" s="931"/>
      <c r="C8" s="901"/>
      <c r="D8" s="897"/>
      <c r="E8" s="894" t="s">
        <v>459</v>
      </c>
      <c r="F8" s="901"/>
      <c r="G8" s="901"/>
      <c r="H8" s="901" t="s">
        <v>460</v>
      </c>
      <c r="I8" s="901"/>
      <c r="J8" s="901"/>
      <c r="K8" s="901" t="s">
        <v>461</v>
      </c>
      <c r="L8" s="901"/>
      <c r="M8" s="901" t="s">
        <v>462</v>
      </c>
      <c r="N8" s="901"/>
      <c r="O8" s="901"/>
      <c r="P8" s="901" t="s">
        <v>463</v>
      </c>
      <c r="Q8" s="901" t="s">
        <v>464</v>
      </c>
      <c r="R8" s="901" t="s">
        <v>465</v>
      </c>
      <c r="S8" s="893" t="s">
        <v>466</v>
      </c>
      <c r="T8" s="901"/>
    </row>
    <row r="9" spans="1:20" ht="43.5" customHeight="1">
      <c r="A9" s="932"/>
      <c r="B9" s="933"/>
      <c r="C9" s="901"/>
      <c r="D9" s="898"/>
      <c r="E9" s="448" t="s">
        <v>467</v>
      </c>
      <c r="F9" s="447" t="s">
        <v>468</v>
      </c>
      <c r="G9" s="448" t="s">
        <v>469</v>
      </c>
      <c r="H9" s="447" t="s">
        <v>470</v>
      </c>
      <c r="I9" s="447" t="s">
        <v>471</v>
      </c>
      <c r="J9" s="447" t="s">
        <v>472</v>
      </c>
      <c r="K9" s="447" t="s">
        <v>468</v>
      </c>
      <c r="L9" s="447" t="s">
        <v>473</v>
      </c>
      <c r="M9" s="447" t="s">
        <v>474</v>
      </c>
      <c r="N9" s="447" t="s">
        <v>475</v>
      </c>
      <c r="O9" s="447" t="s">
        <v>476</v>
      </c>
      <c r="P9" s="901"/>
      <c r="Q9" s="901"/>
      <c r="R9" s="901"/>
      <c r="S9" s="893"/>
      <c r="T9" s="901"/>
    </row>
    <row r="10" spans="1:20" ht="15.75">
      <c r="A10" s="993" t="s">
        <v>5</v>
      </c>
      <c r="B10" s="994"/>
      <c r="C10" s="449">
        <v>1</v>
      </c>
      <c r="D10" s="449">
        <v>2</v>
      </c>
      <c r="E10" s="449">
        <v>3</v>
      </c>
      <c r="F10" s="449">
        <v>4</v>
      </c>
      <c r="G10" s="449">
        <v>5</v>
      </c>
      <c r="H10" s="449">
        <v>6</v>
      </c>
      <c r="I10" s="449">
        <v>7</v>
      </c>
      <c r="J10" s="449">
        <v>8</v>
      </c>
      <c r="K10" s="449">
        <v>9</v>
      </c>
      <c r="L10" s="449">
        <v>10</v>
      </c>
      <c r="M10" s="449">
        <v>11</v>
      </c>
      <c r="N10" s="449">
        <v>12</v>
      </c>
      <c r="O10" s="449">
        <v>13</v>
      </c>
      <c r="P10" s="449">
        <v>14</v>
      </c>
      <c r="Q10" s="449">
        <v>15</v>
      </c>
      <c r="R10" s="449">
        <v>16</v>
      </c>
      <c r="S10" s="449">
        <v>17</v>
      </c>
      <c r="T10" s="449">
        <v>18</v>
      </c>
    </row>
    <row r="11" spans="1:20" ht="20.25" customHeight="1">
      <c r="A11" s="995" t="s">
        <v>26</v>
      </c>
      <c r="B11" s="996"/>
      <c r="C11" s="250">
        <f>C12+C13</f>
        <v>135</v>
      </c>
      <c r="D11" s="250">
        <f aca="true" t="shared" si="0" ref="D11:T11">D12+D13</f>
        <v>131</v>
      </c>
      <c r="E11" s="250">
        <f t="shared" si="0"/>
        <v>0</v>
      </c>
      <c r="F11" s="250">
        <f t="shared" si="0"/>
        <v>11</v>
      </c>
      <c r="G11" s="250">
        <f t="shared" si="0"/>
        <v>48</v>
      </c>
      <c r="H11" s="250">
        <f t="shared" si="0"/>
        <v>0</v>
      </c>
      <c r="I11" s="250">
        <f t="shared" si="0"/>
        <v>0</v>
      </c>
      <c r="J11" s="250">
        <f t="shared" si="0"/>
        <v>4</v>
      </c>
      <c r="K11" s="250">
        <f t="shared" si="0"/>
        <v>2</v>
      </c>
      <c r="L11" s="250">
        <f t="shared" si="0"/>
        <v>23</v>
      </c>
      <c r="M11" s="250">
        <f t="shared" si="0"/>
        <v>0</v>
      </c>
      <c r="N11" s="250">
        <f t="shared" si="0"/>
        <v>1</v>
      </c>
      <c r="O11" s="250">
        <f t="shared" si="0"/>
        <v>8</v>
      </c>
      <c r="P11" s="250">
        <f t="shared" si="0"/>
        <v>5</v>
      </c>
      <c r="Q11" s="250">
        <f t="shared" si="0"/>
        <v>20</v>
      </c>
      <c r="R11" s="250">
        <f t="shared" si="0"/>
        <v>1</v>
      </c>
      <c r="S11" s="250">
        <f t="shared" si="0"/>
        <v>8</v>
      </c>
      <c r="T11" s="250">
        <f t="shared" si="0"/>
        <v>4</v>
      </c>
    </row>
    <row r="12" spans="1:20" ht="21" customHeight="1">
      <c r="A12" s="627" t="s">
        <v>0</v>
      </c>
      <c r="B12" s="628" t="s">
        <v>477</v>
      </c>
      <c r="C12" s="609">
        <f>D12+T12</f>
        <v>26</v>
      </c>
      <c r="D12" s="609">
        <f>E12+F12+G12+H12+I12+J12+K12+L12+M12+N12+O12+P12+Q12+R12+S12</f>
        <v>24</v>
      </c>
      <c r="E12" s="611">
        <v>0</v>
      </c>
      <c r="F12" s="611">
        <v>8</v>
      </c>
      <c r="G12" s="611">
        <v>5</v>
      </c>
      <c r="H12" s="611">
        <v>0</v>
      </c>
      <c r="I12" s="611">
        <v>0</v>
      </c>
      <c r="J12" s="611">
        <v>0</v>
      </c>
      <c r="K12" s="611">
        <v>0</v>
      </c>
      <c r="L12" s="611">
        <v>3</v>
      </c>
      <c r="M12" s="611">
        <v>0</v>
      </c>
      <c r="N12" s="611">
        <v>1</v>
      </c>
      <c r="O12" s="611">
        <v>1</v>
      </c>
      <c r="P12" s="611">
        <v>3</v>
      </c>
      <c r="Q12" s="611">
        <v>2</v>
      </c>
      <c r="R12" s="611">
        <v>1</v>
      </c>
      <c r="S12" s="611">
        <v>0</v>
      </c>
      <c r="T12" s="611">
        <v>2</v>
      </c>
    </row>
    <row r="13" spans="1:20" ht="19.5" customHeight="1">
      <c r="A13" s="629" t="s">
        <v>1</v>
      </c>
      <c r="B13" s="630" t="s">
        <v>14</v>
      </c>
      <c r="C13" s="631">
        <f>C14+C15+C16+C17+C18+C19+C20+C21+C22+C23</f>
        <v>109</v>
      </c>
      <c r="D13" s="631">
        <f aca="true" t="shared" si="1" ref="D13:T13">D14+D15+D16+D17+D18+D19+D20+D21+D22+D23</f>
        <v>107</v>
      </c>
      <c r="E13" s="631">
        <f t="shared" si="1"/>
        <v>0</v>
      </c>
      <c r="F13" s="631">
        <f t="shared" si="1"/>
        <v>3</v>
      </c>
      <c r="G13" s="631">
        <f t="shared" si="1"/>
        <v>43</v>
      </c>
      <c r="H13" s="631">
        <f t="shared" si="1"/>
        <v>0</v>
      </c>
      <c r="I13" s="631">
        <f t="shared" si="1"/>
        <v>0</v>
      </c>
      <c r="J13" s="631">
        <f t="shared" si="1"/>
        <v>4</v>
      </c>
      <c r="K13" s="631">
        <f t="shared" si="1"/>
        <v>2</v>
      </c>
      <c r="L13" s="631">
        <f t="shared" si="1"/>
        <v>20</v>
      </c>
      <c r="M13" s="631">
        <f t="shared" si="1"/>
        <v>0</v>
      </c>
      <c r="N13" s="631">
        <f t="shared" si="1"/>
        <v>0</v>
      </c>
      <c r="O13" s="631">
        <f t="shared" si="1"/>
        <v>7</v>
      </c>
      <c r="P13" s="631">
        <f t="shared" si="1"/>
        <v>2</v>
      </c>
      <c r="Q13" s="631">
        <f t="shared" si="1"/>
        <v>18</v>
      </c>
      <c r="R13" s="631">
        <f t="shared" si="1"/>
        <v>0</v>
      </c>
      <c r="S13" s="631">
        <f t="shared" si="1"/>
        <v>8</v>
      </c>
      <c r="T13" s="631">
        <f t="shared" si="1"/>
        <v>2</v>
      </c>
    </row>
    <row r="14" spans="1:20" ht="18.75" customHeight="1">
      <c r="A14" s="623" t="s">
        <v>37</v>
      </c>
      <c r="B14" s="591" t="s">
        <v>330</v>
      </c>
      <c r="C14" s="609">
        <f aca="true" t="shared" si="2" ref="C14:C23">D14+T14</f>
        <v>17</v>
      </c>
      <c r="D14" s="609">
        <f aca="true" t="shared" si="3" ref="D14:D23">E14+F14+G14+H14+I14+J14+K14+L14+M14+N14+O14+P14+Q14+R14+S14</f>
        <v>17</v>
      </c>
      <c r="E14" s="610">
        <v>0</v>
      </c>
      <c r="F14" s="610">
        <v>1</v>
      </c>
      <c r="G14" s="610">
        <v>9</v>
      </c>
      <c r="H14" s="611">
        <v>0</v>
      </c>
      <c r="I14" s="611">
        <v>0</v>
      </c>
      <c r="J14" s="610">
        <v>2</v>
      </c>
      <c r="K14" s="611">
        <v>0</v>
      </c>
      <c r="L14" s="611">
        <v>3</v>
      </c>
      <c r="M14" s="611">
        <v>0</v>
      </c>
      <c r="N14" s="611">
        <v>0</v>
      </c>
      <c r="O14" s="611">
        <v>0</v>
      </c>
      <c r="P14" s="611">
        <v>0</v>
      </c>
      <c r="Q14" s="611">
        <v>2</v>
      </c>
      <c r="R14" s="611">
        <v>0</v>
      </c>
      <c r="S14" s="611">
        <v>0</v>
      </c>
      <c r="T14" s="611">
        <v>0</v>
      </c>
    </row>
    <row r="15" spans="1:20" ht="18.75" customHeight="1">
      <c r="A15" s="623" t="s">
        <v>38</v>
      </c>
      <c r="B15" s="591" t="s">
        <v>331</v>
      </c>
      <c r="C15" s="609">
        <f t="shared" si="2"/>
        <v>12</v>
      </c>
      <c r="D15" s="609">
        <f t="shared" si="3"/>
        <v>12</v>
      </c>
      <c r="E15" s="610">
        <v>0</v>
      </c>
      <c r="F15" s="610">
        <v>1</v>
      </c>
      <c r="G15" s="610">
        <v>4</v>
      </c>
      <c r="H15" s="611">
        <v>0</v>
      </c>
      <c r="I15" s="611">
        <v>0</v>
      </c>
      <c r="J15" s="611">
        <v>0</v>
      </c>
      <c r="K15" s="611">
        <v>0</v>
      </c>
      <c r="L15" s="611">
        <v>3</v>
      </c>
      <c r="M15" s="611">
        <v>0</v>
      </c>
      <c r="N15" s="611">
        <v>0</v>
      </c>
      <c r="O15" s="611">
        <v>0</v>
      </c>
      <c r="P15" s="611">
        <v>1</v>
      </c>
      <c r="Q15" s="611">
        <v>2</v>
      </c>
      <c r="R15" s="611">
        <v>0</v>
      </c>
      <c r="S15" s="611">
        <v>1</v>
      </c>
      <c r="T15" s="611">
        <v>0</v>
      </c>
    </row>
    <row r="16" spans="1:20" ht="16.5" customHeight="1">
      <c r="A16" s="623" t="s">
        <v>43</v>
      </c>
      <c r="B16" s="591" t="s">
        <v>332</v>
      </c>
      <c r="C16" s="609">
        <f t="shared" si="2"/>
        <v>13</v>
      </c>
      <c r="D16" s="609">
        <f t="shared" si="3"/>
        <v>13</v>
      </c>
      <c r="E16" s="610">
        <v>0</v>
      </c>
      <c r="F16" s="610">
        <v>0</v>
      </c>
      <c r="G16" s="610">
        <v>5</v>
      </c>
      <c r="H16" s="611">
        <v>0</v>
      </c>
      <c r="I16" s="611">
        <v>0</v>
      </c>
      <c r="J16" s="611">
        <v>0</v>
      </c>
      <c r="K16" s="611">
        <v>0</v>
      </c>
      <c r="L16" s="611">
        <v>1</v>
      </c>
      <c r="M16" s="611">
        <v>0</v>
      </c>
      <c r="N16" s="611">
        <v>0</v>
      </c>
      <c r="O16" s="611">
        <v>4</v>
      </c>
      <c r="P16" s="611">
        <v>0</v>
      </c>
      <c r="Q16" s="611">
        <v>2</v>
      </c>
      <c r="R16" s="611">
        <v>0</v>
      </c>
      <c r="S16" s="611">
        <v>1</v>
      </c>
      <c r="T16" s="611">
        <v>0</v>
      </c>
    </row>
    <row r="17" spans="1:20" ht="19.5" customHeight="1">
      <c r="A17" s="623" t="s">
        <v>62</v>
      </c>
      <c r="B17" s="591" t="s">
        <v>333</v>
      </c>
      <c r="C17" s="609">
        <f t="shared" si="2"/>
        <v>11</v>
      </c>
      <c r="D17" s="609">
        <f t="shared" si="3"/>
        <v>11</v>
      </c>
      <c r="E17" s="610">
        <v>0</v>
      </c>
      <c r="F17" s="610">
        <v>0</v>
      </c>
      <c r="G17" s="610">
        <v>6</v>
      </c>
      <c r="H17" s="611">
        <v>0</v>
      </c>
      <c r="I17" s="611">
        <v>0</v>
      </c>
      <c r="J17" s="611">
        <v>0</v>
      </c>
      <c r="K17" s="611">
        <v>0</v>
      </c>
      <c r="L17" s="611">
        <v>1</v>
      </c>
      <c r="M17" s="611">
        <v>0</v>
      </c>
      <c r="N17" s="611">
        <v>0</v>
      </c>
      <c r="O17" s="611">
        <v>1</v>
      </c>
      <c r="P17" s="611">
        <v>0</v>
      </c>
      <c r="Q17" s="611">
        <v>2</v>
      </c>
      <c r="R17" s="611">
        <v>0</v>
      </c>
      <c r="S17" s="611">
        <v>1</v>
      </c>
      <c r="T17" s="611">
        <v>0</v>
      </c>
    </row>
    <row r="18" spans="1:20" ht="19.5" customHeight="1">
      <c r="A18" s="623" t="s">
        <v>63</v>
      </c>
      <c r="B18" s="591" t="s">
        <v>334</v>
      </c>
      <c r="C18" s="609">
        <f t="shared" si="2"/>
        <v>12</v>
      </c>
      <c r="D18" s="609">
        <f t="shared" si="3"/>
        <v>11</v>
      </c>
      <c r="E18" s="610">
        <v>0</v>
      </c>
      <c r="F18" s="610">
        <v>0</v>
      </c>
      <c r="G18" s="610">
        <v>4</v>
      </c>
      <c r="H18" s="611">
        <v>0</v>
      </c>
      <c r="I18" s="611">
        <v>0</v>
      </c>
      <c r="J18" s="611">
        <v>1</v>
      </c>
      <c r="K18" s="611">
        <v>0</v>
      </c>
      <c r="L18" s="611">
        <v>1</v>
      </c>
      <c r="M18" s="611">
        <v>0</v>
      </c>
      <c r="N18" s="611">
        <v>0</v>
      </c>
      <c r="O18" s="611">
        <v>1</v>
      </c>
      <c r="P18" s="611">
        <v>1</v>
      </c>
      <c r="Q18" s="611">
        <v>2</v>
      </c>
      <c r="R18" s="611">
        <v>0</v>
      </c>
      <c r="S18" s="611">
        <v>1</v>
      </c>
      <c r="T18" s="611">
        <v>1</v>
      </c>
    </row>
    <row r="19" spans="1:20" ht="18.75" customHeight="1">
      <c r="A19" s="623" t="s">
        <v>64</v>
      </c>
      <c r="B19" s="591" t="s">
        <v>335</v>
      </c>
      <c r="C19" s="609">
        <f t="shared" si="2"/>
        <v>9</v>
      </c>
      <c r="D19" s="609">
        <f t="shared" si="3"/>
        <v>8</v>
      </c>
      <c r="E19" s="610">
        <v>0</v>
      </c>
      <c r="F19" s="610">
        <v>0</v>
      </c>
      <c r="G19" s="610">
        <v>2</v>
      </c>
      <c r="H19" s="611">
        <v>0</v>
      </c>
      <c r="I19" s="611">
        <v>0</v>
      </c>
      <c r="J19" s="611">
        <v>1</v>
      </c>
      <c r="K19" s="610">
        <v>1</v>
      </c>
      <c r="L19" s="611">
        <v>2</v>
      </c>
      <c r="M19" s="611">
        <v>0</v>
      </c>
      <c r="N19" s="611">
        <v>0</v>
      </c>
      <c r="O19" s="611">
        <v>0</v>
      </c>
      <c r="P19" s="611">
        <v>0</v>
      </c>
      <c r="Q19" s="611">
        <v>2</v>
      </c>
      <c r="R19" s="611">
        <v>0</v>
      </c>
      <c r="S19" s="611">
        <v>0</v>
      </c>
      <c r="T19" s="611">
        <v>1</v>
      </c>
    </row>
    <row r="20" spans="1:20" ht="19.5" customHeight="1">
      <c r="A20" s="623" t="s">
        <v>65</v>
      </c>
      <c r="B20" s="591" t="s">
        <v>336</v>
      </c>
      <c r="C20" s="609">
        <f t="shared" si="2"/>
        <v>12</v>
      </c>
      <c r="D20" s="609">
        <f t="shared" si="3"/>
        <v>12</v>
      </c>
      <c r="E20" s="610">
        <v>0</v>
      </c>
      <c r="F20" s="610">
        <v>1</v>
      </c>
      <c r="G20" s="610">
        <v>4</v>
      </c>
      <c r="H20" s="611">
        <v>0</v>
      </c>
      <c r="I20" s="611">
        <v>0</v>
      </c>
      <c r="J20" s="611">
        <v>0</v>
      </c>
      <c r="K20" s="611">
        <v>0</v>
      </c>
      <c r="L20" s="611">
        <v>5</v>
      </c>
      <c r="M20" s="611">
        <v>0</v>
      </c>
      <c r="N20" s="611">
        <v>0</v>
      </c>
      <c r="O20" s="611">
        <v>0</v>
      </c>
      <c r="P20" s="611">
        <v>0</v>
      </c>
      <c r="Q20" s="611">
        <v>2</v>
      </c>
      <c r="R20" s="611">
        <v>0</v>
      </c>
      <c r="S20" s="611">
        <v>0</v>
      </c>
      <c r="T20" s="611">
        <v>0</v>
      </c>
    </row>
    <row r="21" spans="1:20" ht="18.75" customHeight="1">
      <c r="A21" s="623" t="s">
        <v>66</v>
      </c>
      <c r="B21" s="591" t="s">
        <v>337</v>
      </c>
      <c r="C21" s="609">
        <f t="shared" si="2"/>
        <v>9</v>
      </c>
      <c r="D21" s="609">
        <f t="shared" si="3"/>
        <v>9</v>
      </c>
      <c r="E21" s="610">
        <v>0</v>
      </c>
      <c r="F21" s="610">
        <v>0</v>
      </c>
      <c r="G21" s="610">
        <v>4</v>
      </c>
      <c r="H21" s="611">
        <v>0</v>
      </c>
      <c r="I21" s="611">
        <v>0</v>
      </c>
      <c r="J21" s="611">
        <v>0</v>
      </c>
      <c r="K21" s="611">
        <v>0</v>
      </c>
      <c r="L21" s="611">
        <v>1</v>
      </c>
      <c r="M21" s="611">
        <v>0</v>
      </c>
      <c r="N21" s="611">
        <v>0</v>
      </c>
      <c r="O21" s="611">
        <v>1</v>
      </c>
      <c r="P21" s="611">
        <v>0</v>
      </c>
      <c r="Q21" s="611">
        <v>2</v>
      </c>
      <c r="R21" s="611">
        <v>0</v>
      </c>
      <c r="S21" s="611">
        <v>1</v>
      </c>
      <c r="T21" s="611">
        <v>0</v>
      </c>
    </row>
    <row r="22" spans="1:20" ht="18" customHeight="1">
      <c r="A22" s="623" t="s">
        <v>67</v>
      </c>
      <c r="B22" s="591" t="s">
        <v>338</v>
      </c>
      <c r="C22" s="609">
        <f t="shared" si="2"/>
        <v>9</v>
      </c>
      <c r="D22" s="609">
        <f t="shared" si="3"/>
        <v>9</v>
      </c>
      <c r="E22" s="610">
        <v>0</v>
      </c>
      <c r="F22" s="610">
        <v>0</v>
      </c>
      <c r="G22" s="610">
        <v>3</v>
      </c>
      <c r="H22" s="611">
        <v>0</v>
      </c>
      <c r="I22" s="611">
        <v>0</v>
      </c>
      <c r="J22" s="611">
        <v>0</v>
      </c>
      <c r="K22" s="611">
        <v>0</v>
      </c>
      <c r="L22" s="611">
        <v>3</v>
      </c>
      <c r="M22" s="611">
        <v>0</v>
      </c>
      <c r="N22" s="611">
        <v>0</v>
      </c>
      <c r="O22" s="611">
        <v>0</v>
      </c>
      <c r="P22" s="611">
        <v>0</v>
      </c>
      <c r="Q22" s="611">
        <v>1</v>
      </c>
      <c r="R22" s="611">
        <v>0</v>
      </c>
      <c r="S22" s="611">
        <v>2</v>
      </c>
      <c r="T22" s="611">
        <v>0</v>
      </c>
    </row>
    <row r="23" spans="1:20" ht="19.5" customHeight="1" thickBot="1">
      <c r="A23" s="624" t="s">
        <v>85</v>
      </c>
      <c r="B23" s="592" t="s">
        <v>339</v>
      </c>
      <c r="C23" s="612">
        <f t="shared" si="2"/>
        <v>5</v>
      </c>
      <c r="D23" s="612">
        <f t="shared" si="3"/>
        <v>5</v>
      </c>
      <c r="E23" s="613">
        <v>0</v>
      </c>
      <c r="F23" s="613">
        <v>0</v>
      </c>
      <c r="G23" s="613">
        <v>2</v>
      </c>
      <c r="H23" s="614">
        <v>0</v>
      </c>
      <c r="I23" s="614">
        <v>0</v>
      </c>
      <c r="J23" s="614">
        <v>0</v>
      </c>
      <c r="K23" s="614">
        <v>1</v>
      </c>
      <c r="L23" s="614">
        <v>0</v>
      </c>
      <c r="M23" s="614">
        <v>0</v>
      </c>
      <c r="N23" s="614">
        <v>0</v>
      </c>
      <c r="O23" s="614">
        <v>0</v>
      </c>
      <c r="P23" s="614">
        <v>0</v>
      </c>
      <c r="Q23" s="614">
        <v>1</v>
      </c>
      <c r="R23" s="614">
        <v>0</v>
      </c>
      <c r="S23" s="614">
        <v>1</v>
      </c>
      <c r="T23" s="614">
        <v>0</v>
      </c>
    </row>
    <row r="24" spans="1:20" ht="17.25" customHeight="1" thickTop="1">
      <c r="A24" s="909" t="str">
        <f>'Thông tin'!B7</f>
        <v>Bình Thuận, ngày 06 tháng 4 năm 2016</v>
      </c>
      <c r="B24" s="909"/>
      <c r="C24" s="909"/>
      <c r="D24" s="909"/>
      <c r="E24" s="909"/>
      <c r="F24" s="529"/>
      <c r="G24" s="529"/>
      <c r="H24" s="529"/>
      <c r="I24" s="529"/>
      <c r="J24" s="529"/>
      <c r="K24" s="529" t="s">
        <v>478</v>
      </c>
      <c r="L24" s="781"/>
      <c r="M24" s="870" t="str">
        <f>'Thông tin'!B7</f>
        <v>Bình Thuận, ngày 06 tháng 4 năm 2016</v>
      </c>
      <c r="N24" s="870"/>
      <c r="O24" s="870"/>
      <c r="P24" s="870"/>
      <c r="Q24" s="870"/>
      <c r="R24" s="870"/>
      <c r="S24" s="870"/>
      <c r="T24" s="870"/>
    </row>
    <row r="25" spans="1:20" ht="16.5">
      <c r="A25" s="911" t="s">
        <v>479</v>
      </c>
      <c r="B25" s="911"/>
      <c r="C25" s="911"/>
      <c r="D25" s="911"/>
      <c r="E25" s="911"/>
      <c r="F25" s="525"/>
      <c r="G25" s="525"/>
      <c r="H25" s="525"/>
      <c r="I25" s="525"/>
      <c r="J25" s="525"/>
      <c r="K25" s="525"/>
      <c r="L25" s="781"/>
      <c r="M25" s="872" t="s">
        <v>355</v>
      </c>
      <c r="N25" s="872"/>
      <c r="O25" s="872"/>
      <c r="P25" s="872"/>
      <c r="Q25" s="872"/>
      <c r="R25" s="872"/>
      <c r="S25" s="872"/>
      <c r="T25" s="872"/>
    </row>
    <row r="26" spans="1:20" ht="16.5">
      <c r="A26" s="782"/>
      <c r="B26" s="782"/>
      <c r="C26" s="782"/>
      <c r="D26" s="782"/>
      <c r="E26" s="782"/>
      <c r="F26" s="782"/>
      <c r="G26" s="782"/>
      <c r="H26" s="782"/>
      <c r="I26" s="782"/>
      <c r="J26" s="782"/>
      <c r="K26" s="782"/>
      <c r="L26" s="782"/>
      <c r="M26" s="985" t="s">
        <v>354</v>
      </c>
      <c r="N26" s="985"/>
      <c r="O26" s="985"/>
      <c r="P26" s="985"/>
      <c r="Q26" s="985"/>
      <c r="R26" s="985"/>
      <c r="S26" s="985"/>
      <c r="T26" s="985"/>
    </row>
    <row r="27" spans="1:20" ht="15.75">
      <c r="A27" s="782"/>
      <c r="B27" s="782"/>
      <c r="C27" s="782"/>
      <c r="D27" s="782"/>
      <c r="E27" s="782"/>
      <c r="F27" s="782"/>
      <c r="G27" s="782"/>
      <c r="H27" s="782"/>
      <c r="I27" s="782"/>
      <c r="J27" s="782"/>
      <c r="K27" s="782"/>
      <c r="L27" s="782"/>
      <c r="M27" s="782"/>
      <c r="N27" s="782"/>
      <c r="O27" s="782"/>
      <c r="P27" s="782"/>
      <c r="Q27" s="782"/>
      <c r="R27" s="782"/>
      <c r="S27" s="782"/>
      <c r="T27" s="782"/>
    </row>
    <row r="28" spans="1:20" ht="15.75">
      <c r="A28" s="782"/>
      <c r="B28" s="782"/>
      <c r="C28" s="782"/>
      <c r="D28" s="782"/>
      <c r="E28" s="782"/>
      <c r="F28" s="782"/>
      <c r="G28" s="782"/>
      <c r="H28" s="782"/>
      <c r="I28" s="782"/>
      <c r="J28" s="782"/>
      <c r="K28" s="782"/>
      <c r="L28" s="782"/>
      <c r="M28" s="782"/>
      <c r="N28" s="782"/>
      <c r="O28" s="782"/>
      <c r="P28" s="782"/>
      <c r="Q28" s="782"/>
      <c r="R28" s="782"/>
      <c r="S28" s="782"/>
      <c r="T28" s="782"/>
    </row>
    <row r="29" spans="1:20" ht="15.75">
      <c r="A29" s="782"/>
      <c r="B29" s="782"/>
      <c r="C29" s="782"/>
      <c r="D29" s="782"/>
      <c r="E29" s="782"/>
      <c r="F29" s="782"/>
      <c r="G29" s="782"/>
      <c r="H29" s="782"/>
      <c r="I29" s="782"/>
      <c r="J29" s="782"/>
      <c r="K29" s="782"/>
      <c r="L29" s="782"/>
      <c r="M29" s="782"/>
      <c r="N29" s="782"/>
      <c r="O29" s="782"/>
      <c r="P29" s="782"/>
      <c r="Q29" s="782"/>
      <c r="R29" s="782"/>
      <c r="S29" s="782"/>
      <c r="T29" s="782"/>
    </row>
    <row r="30" spans="1:20" ht="15.75">
      <c r="A30" s="782"/>
      <c r="B30" s="782"/>
      <c r="C30" s="782"/>
      <c r="D30" s="782"/>
      <c r="E30" s="782"/>
      <c r="F30" s="782"/>
      <c r="G30" s="782"/>
      <c r="H30" s="782"/>
      <c r="I30" s="782"/>
      <c r="J30" s="782"/>
      <c r="K30" s="782"/>
      <c r="L30" s="782"/>
      <c r="M30" s="782"/>
      <c r="N30" s="782"/>
      <c r="O30" s="782"/>
      <c r="P30" s="782"/>
      <c r="Q30" s="782"/>
      <c r="R30" s="782"/>
      <c r="S30" s="782"/>
      <c r="T30" s="782"/>
    </row>
    <row r="31" spans="1:20" ht="16.5">
      <c r="A31" s="782"/>
      <c r="B31" s="985" t="str">
        <f>'Thông tin'!B4</f>
        <v>Trần Quốc Bảo</v>
      </c>
      <c r="C31" s="985"/>
      <c r="D31" s="985"/>
      <c r="E31" s="782"/>
      <c r="F31" s="782"/>
      <c r="G31" s="782"/>
      <c r="H31" s="782"/>
      <c r="I31" s="782"/>
      <c r="J31" s="782"/>
      <c r="K31" s="782"/>
      <c r="L31" s="782"/>
      <c r="M31" s="985" t="str">
        <f>'Thông tin'!B5</f>
        <v>Trần Nam</v>
      </c>
      <c r="N31" s="985"/>
      <c r="O31" s="985"/>
      <c r="P31" s="985"/>
      <c r="Q31" s="985"/>
      <c r="R31" s="985"/>
      <c r="S31" s="985"/>
      <c r="T31" s="985"/>
    </row>
  </sheetData>
  <mergeCells count="30">
    <mergeCell ref="M25:T25"/>
    <mergeCell ref="M26:T26"/>
    <mergeCell ref="B31:D31"/>
    <mergeCell ref="M31:T31"/>
    <mergeCell ref="A25:E25"/>
    <mergeCell ref="A10:B10"/>
    <mergeCell ref="A11:B11"/>
    <mergeCell ref="M24:T24"/>
    <mergeCell ref="A24:E24"/>
    <mergeCell ref="T6:T9"/>
    <mergeCell ref="D7:D9"/>
    <mergeCell ref="E7:S7"/>
    <mergeCell ref="E8:G8"/>
    <mergeCell ref="H8:J8"/>
    <mergeCell ref="K8:L8"/>
    <mergeCell ref="M8:O8"/>
    <mergeCell ref="P8:P9"/>
    <mergeCell ref="Q8:Q9"/>
    <mergeCell ref="R8:R9"/>
    <mergeCell ref="A4:C4"/>
    <mergeCell ref="D4:N4"/>
    <mergeCell ref="A6:B9"/>
    <mergeCell ref="C6:C9"/>
    <mergeCell ref="D6:S6"/>
    <mergeCell ref="S8:S9"/>
    <mergeCell ref="A1:C1"/>
    <mergeCell ref="D1:N2"/>
    <mergeCell ref="A2:C2"/>
    <mergeCell ref="A3:C3"/>
    <mergeCell ref="D3:N3"/>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pc</cp:lastModifiedBy>
  <cp:lastPrinted>2016-04-12T07:00:05Z</cp:lastPrinted>
  <dcterms:created xsi:type="dcterms:W3CDTF">2004-03-07T02:36:29Z</dcterms:created>
  <dcterms:modified xsi:type="dcterms:W3CDTF">2016-04-12T07:00:07Z</dcterms:modified>
  <cp:category/>
  <cp:version/>
  <cp:contentType/>
  <cp:contentStatus/>
</cp:coreProperties>
</file>